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670" tabRatio="699" activeTab="6"/>
  </bookViews>
  <sheets>
    <sheet name="Lưu ý" sheetId="1" r:id="rId1"/>
    <sheet name="Danhsach" sheetId="2" r:id="rId2"/>
    <sheet name="Danhsach1" sheetId="3" r:id="rId3"/>
    <sheet name="Nguyen_nhan" sheetId="4" r:id="rId4"/>
    <sheet name="TCTD" sheetId="5" r:id="rId5"/>
    <sheet name="TK_theonguyennhan" sheetId="6" r:id="rId6"/>
    <sheet name="TK_theoTCTD" sheetId="7" r:id="rId7"/>
  </sheets>
  <externalReferences>
    <externalReference r:id="rId10"/>
    <externalReference r:id="rId11"/>
  </externalReferences>
  <definedNames>
    <definedName name="_xlfn.COUNTIFS" hidden="1">#NAME?</definedName>
    <definedName name="_xlfn.SUMIFS" hidden="1">#NAME?</definedName>
    <definedName name="Nguyennhan" localSheetId="0">'[1]Nguyen_nhan'!$B$3:$B$12</definedName>
    <definedName name="Nguyennhan">'Nguyen_nhan'!$B$3:$B$12</definedName>
    <definedName name="_xlnm.Print_Area" localSheetId="1">'Danhsach'!$A$1:$L$326</definedName>
    <definedName name="_xlnm.Print_Area" localSheetId="2">'Danhsach1'!$A$1:$L$33</definedName>
    <definedName name="_xlnm.Print_Area" localSheetId="3">'Nguyen_nhan'!$A$1:$B$12</definedName>
    <definedName name="_xlnm.Print_Area" localSheetId="4">'TCTD'!$A$1:$C$178</definedName>
    <definedName name="_xlnm.Print_Area" localSheetId="5">'TK_theonguyennhan'!$A$1:$F$30</definedName>
    <definedName name="_xlnm.Print_Area" localSheetId="6">'TK_theoTCTD'!$A$1:$F$109</definedName>
    <definedName name="_xlnm.Print_Titles" localSheetId="1">'Danhsach'!$7:$8</definedName>
    <definedName name="_xlnm.Print_Titles" localSheetId="2">'Danhsach1'!$7:$8</definedName>
    <definedName name="_xlnm.Print_Titles" localSheetId="6">'TK_theoTCTD'!$4:$5</definedName>
    <definedName name="TCTD">'TCTD'!$C$6:$C$100</definedName>
  </definedNames>
  <calcPr fullCalcOnLoad="1"/>
</workbook>
</file>

<file path=xl/sharedStrings.xml><?xml version="1.0" encoding="utf-8"?>
<sst xmlns="http://schemas.openxmlformats.org/spreadsheetml/2006/main" count="1777" uniqueCount="846">
  <si>
    <t>I</t>
  </si>
  <si>
    <t>II</t>
  </si>
  <si>
    <t>Đơn vị tính: 1.000 đồng</t>
  </si>
  <si>
    <t>Số tiền, tài sản phải thi hành án</t>
  </si>
  <si>
    <t>Số tiền, tài sản đã thi hành án</t>
  </si>
  <si>
    <t>Số tiền, tài sản còn phải thi hành án</t>
  </si>
  <si>
    <t>Nguyên nhân chưa thi hành</t>
  </si>
  <si>
    <t>TỔNG CỘNG</t>
  </si>
  <si>
    <t>Biện pháp
 giải quyết</t>
  </si>
  <si>
    <t>Người lập biểu</t>
  </si>
  <si>
    <t>Số TT</t>
  </si>
  <si>
    <t>Số quyết định thi hành án</t>
  </si>
  <si>
    <t>Người được thi hành án</t>
  </si>
  <si>
    <t>III</t>
  </si>
  <si>
    <t>9=7-8</t>
  </si>
  <si>
    <t>Số bản án, quyết định của Tòa án</t>
  </si>
  <si>
    <t>Ngày ban hành bản án, quyết định</t>
  </si>
  <si>
    <t>Ngày ban hành quyết định thi hành án</t>
  </si>
  <si>
    <t>Người phải thi hành án</t>
  </si>
  <si>
    <t>Cục Thi hành án dân sự tỉnh</t>
  </si>
  <si>
    <t>TT</t>
  </si>
  <si>
    <t>Nguyên nhân</t>
  </si>
  <si>
    <t>VID Public Bank</t>
  </si>
  <si>
    <t>1.1</t>
  </si>
  <si>
    <t>1.2</t>
  </si>
  <si>
    <t>2.1</t>
  </si>
  <si>
    <t>2.2</t>
  </si>
  <si>
    <t>Đông Á (DAB)</t>
  </si>
  <si>
    <t>Đông Nam Á (SeABank)</t>
  </si>
  <si>
    <t>Đại Dương (Oceanbank)</t>
  </si>
  <si>
    <t>An Bình (ABBank)</t>
  </si>
  <si>
    <t>Bản Việt (VIET CAPITAL BANK, VCCB)</t>
  </si>
  <si>
    <t>Bắc Á (NASBank, NASB)</t>
  </si>
  <si>
    <t>Kiên Long (KienLongBank)</t>
  </si>
  <si>
    <t>Nam Á (Nam A Bank)</t>
  </si>
  <si>
    <t>Việt Nam Thịnh Vượng (VPBank)</t>
  </si>
  <si>
    <t>Phát triển Thành phố Hồ Chí Minh (HDBank)</t>
  </si>
  <si>
    <t>Phương Đông (Orient Commercial Bank, OCB)</t>
  </si>
  <si>
    <t>Quân Đội (Military Bank, MB)</t>
  </si>
  <si>
    <t>Quốc tế (VIBBank, VIB)</t>
  </si>
  <si>
    <t>Sài Gòn (Sài Gòn, SCB)</t>
  </si>
  <si>
    <t>Sài Gòn Công Thương (Saigonbank)</t>
  </si>
  <si>
    <t>Sài Gòn-Hà Nội (SHBank, SHB)</t>
  </si>
  <si>
    <t>Sài Gòn Thương Tín (Sacombank)</t>
  </si>
  <si>
    <t>Việt Á (VietABank, VAB)</t>
  </si>
  <si>
    <t>Bảo Việt (BaoVietBank, BVB)</t>
  </si>
  <si>
    <t>Việt Nam Thương Tín (VietBank)</t>
  </si>
  <si>
    <t>Xăng dầu Petrolimex (Petrolimex Group Bank, PG Bank)</t>
  </si>
  <si>
    <t>Xuất Nhập Khẩu Việt Nam (Eximbank, EIB)</t>
  </si>
  <si>
    <t>Bưu Điện Liên Việt (LienVietPostBank)</t>
  </si>
  <si>
    <t>Ngoại thương (Vietcombank)</t>
  </si>
  <si>
    <t>Phát Triển Mê Kông (MDB)</t>
  </si>
  <si>
    <t>Công Thương Việt Nam (Vietinbank)</t>
  </si>
  <si>
    <t>Đầu tư và Phát triển Việt Nam (BIDV)</t>
  </si>
  <si>
    <t>Đại Chúng (PVcom Bank)</t>
  </si>
  <si>
    <t>Ngân hàng Chính sách Xã hội Việt Nam (VBSP)</t>
  </si>
  <si>
    <t>Ngân hàng Phát triển Việt Nam (VDB)</t>
  </si>
  <si>
    <t>=:Các Ngân hàng chính sách (Nhà nước):=</t>
  </si>
  <si>
    <t>3.1</t>
  </si>
  <si>
    <t>3.2</t>
  </si>
  <si>
    <t>3.3</t>
  </si>
  <si>
    <t>4.1</t>
  </si>
  <si>
    <t>4.2</t>
  </si>
  <si>
    <t>4.3</t>
  </si>
  <si>
    <t>4.4</t>
  </si>
  <si>
    <t>4.5</t>
  </si>
  <si>
    <t>4.6</t>
  </si>
  <si>
    <t>4.7</t>
  </si>
  <si>
    <t>4.8</t>
  </si>
  <si>
    <t>4.9</t>
  </si>
  <si>
    <t>4.10</t>
  </si>
  <si>
    <t>4.11</t>
  </si>
  <si>
    <t>4.12</t>
  </si>
  <si>
    <t>4.13</t>
  </si>
  <si>
    <t>4.14</t>
  </si>
  <si>
    <t>5.1</t>
  </si>
  <si>
    <t>5.2</t>
  </si>
  <si>
    <t>5.3</t>
  </si>
  <si>
    <t>5.4</t>
  </si>
  <si>
    <t>5.5</t>
  </si>
  <si>
    <t>THỐNG KÊ THEO NGUYÊN NHÂN</t>
  </si>
  <si>
    <t>Số việc</t>
  </si>
  <si>
    <t>Số tiền</t>
  </si>
  <si>
    <t>Cộng</t>
  </si>
  <si>
    <t>6.1</t>
  </si>
  <si>
    <t>6.2</t>
  </si>
  <si>
    <t>6.3</t>
  </si>
  <si>
    <t>6.4</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</si>
  <si>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</si>
  <si>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</si>
  <si>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</si>
  <si>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</si>
  <si>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</si>
  <si>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</si>
  <si>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</si>
  <si>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</si>
  <si>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</si>
  <si>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</si>
  <si>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</si>
  <si>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</si>
  <si>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</si>
  <si>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</si>
  <si>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</si>
  <si>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</si>
  <si>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</si>
  <si>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</si>
  <si>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</si>
  <si>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</si>
  <si>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</si>
  <si>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</si>
  <si>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</si>
  <si>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</si>
  <si>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</si>
  <si>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</si>
  <si>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</si>
  <si>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</si>
  <si>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</si>
  <si>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</si>
  <si>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</si>
  <si>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</si>
  <si>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</si>
  <si>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</si>
  <si>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</si>
  <si>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</si>
  <si>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</si>
  <si>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</si>
  <si>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</si>
  <si>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</si>
  <si>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</si>
  <si>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</si>
  <si>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</si>
  <si>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</si>
  <si>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</si>
  <si>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</si>
  <si>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</si>
  <si>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</si>
  <si>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</si>
  <si>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</si>
  <si>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</si>
  <si>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</si>
  <si>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</si>
  <si>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</si>
  <si>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</si>
  <si>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</si>
  <si>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</si>
  <si>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</si>
  <si>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</si>
  <si>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</si>
  <si>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</si>
  <si>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</si>
  <si>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</si>
  <si>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</si>
  <si>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</si>
  <si>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</si>
  <si>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</si>
  <si>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</si>
  <si>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</si>
  <si>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</si>
  <si>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</si>
  <si>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</si>
  <si>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</si>
  <si>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</si>
  <si>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</si>
  <si>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</si>
  <si>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</si>
  <si>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</si>
  <si>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</si>
  <si>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</si>
  <si>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</si>
  <si>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</si>
  <si>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</si>
  <si>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</si>
  <si>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</si>
  <si>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</si>
  <si>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</si>
  <si>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</si>
  <si>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</si>
  <si>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</si>
  <si>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</si>
  <si>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</si>
  <si>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</si>
  <si>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</si>
  <si>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</si>
  <si>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</si>
  <si>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</si>
  <si>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</si>
  <si>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</si>
  <si>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</si>
  <si>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DANH SÁCH CÁC TỔ CHỨC TÍN DỤNG NGÂN HÀNG</t>
  </si>
  <si>
    <t>Tên tổ chức tín dụng, ngân hàng</t>
  </si>
  <si>
    <t>THỐNG KÊ THEO TỔ CHỨC TÍN DỤNG NGÂN HÀNG</t>
  </si>
  <si>
    <t>Tên tổ chức tín dụng ngân hàng</t>
  </si>
  <si>
    <t>TỔNG CỤC THADS - BỘ TƯ PHÁP</t>
  </si>
  <si>
    <t>Đơn vị nhận báo cáo:</t>
  </si>
  <si>
    <t>Đơn vị báo cáo:</t>
  </si>
  <si>
    <t>Có điều kiện thi hành án</t>
  </si>
  <si>
    <t>3.Đang thi hành</t>
  </si>
  <si>
    <t>4.Hoãn thi hành án</t>
  </si>
  <si>
    <t>5.Tạm đình chỉ thi hành án</t>
  </si>
  <si>
    <t>6.Tạm dừng thi hành án để giải quyết khiếu nại</t>
  </si>
  <si>
    <t>7.Đang trong thời gian tự nguyện thi hành án</t>
  </si>
  <si>
    <t>8.Đang trong thời gian chờ ý kiến chỉ đạo nghiệp vụ của cơ quan có thẩm quyền</t>
  </si>
  <si>
    <t>9.Đang trong thời gian chờ ý kiến Ban Chỉ đạo thi hành án dân sự</t>
  </si>
  <si>
    <t>1.Thi hành xong</t>
  </si>
  <si>
    <t>2.Đình chỉ thi hành án</t>
  </si>
  <si>
    <t>Ngân hàng hợp tác xã Việt Nam (Co-op bank, trước đây là Quỹ tín dụng nhân dân trung ương)</t>
  </si>
  <si>
    <t>Các Quỹ tín dụng nhân dân cơ sở (Quỹ tín dụng phường, xã)</t>
  </si>
  <si>
    <t>Xây dựng Việt Nam (CBBANK, VNCB)</t>
  </si>
  <si>
    <t>Dầu Khí Toàn Cầu (GPBank)</t>
  </si>
  <si>
    <t>Nông nghiệp và Phát triển Nông thôn Việt Nam  (Agribank)</t>
  </si>
  <si>
    <t>=:Ngân hàng thương mại cổ phần:=</t>
  </si>
  <si>
    <t>Tiên Phong (Tien Phong Bank, TP Bank)</t>
  </si>
  <si>
    <t>Á Châu (Asia Commercial Bank, ACB)</t>
  </si>
  <si>
    <t>Hàng hải (Maritime Bank, MSB)</t>
  </si>
  <si>
    <t>Kỹ Thương (Techcombank)</t>
  </si>
  <si>
    <t>Quốc Dân (National Citizen Bank, NVB)</t>
  </si>
  <si>
    <t>4.15</t>
  </si>
  <si>
    <t>4.16</t>
  </si>
  <si>
    <t>4.17</t>
  </si>
  <si>
    <t>4.18</t>
  </si>
  <si>
    <t>4.19</t>
  </si>
  <si>
    <t>4.20</t>
  </si>
  <si>
    <t>4.21</t>
  </si>
  <si>
    <t>4.22</t>
  </si>
  <si>
    <t>4.23</t>
  </si>
  <si>
    <t>4.24</t>
  </si>
  <si>
    <t>4.25</t>
  </si>
  <si>
    <t>4.26</t>
  </si>
  <si>
    <t>4.27</t>
  </si>
  <si>
    <t>4.28</t>
  </si>
  <si>
    <t>4.29</t>
  </si>
  <si>
    <t>4.30</t>
  </si>
  <si>
    <t>4.31</t>
  </si>
  <si>
    <t>Phương Nam (PNB)</t>
  </si>
  <si>
    <t>4.32</t>
  </si>
  <si>
    <t>4.33</t>
  </si>
  <si>
    <t>4.34</t>
  </si>
  <si>
    <t>=:Ngân hàng 100% vốn nước ngoài:=</t>
  </si>
  <si>
    <t>ANZ Việt Nam (ANZVL)</t>
  </si>
  <si>
    <t>Hong Leong Việt Nam (HLBVN)</t>
  </si>
  <si>
    <t>HSBC Việt Nam (HSBC)</t>
  </si>
  <si>
    <t>Shinhan Việt Nam (SHBVN)</t>
  </si>
  <si>
    <t>Standard Chartered Việt Nam (SCBVL)</t>
  </si>
  <si>
    <t>=:Ngân hàng Hợp tác xã:=</t>
  </si>
  <si>
    <t>Indovina (IVB)</t>
  </si>
  <si>
    <t>Việt – Nga (VRB)</t>
  </si>
  <si>
    <t>Việt – Thái (VSB)</t>
  </si>
  <si>
    <t>=:Ngân hàng liên doanh:=</t>
  </si>
  <si>
    <t>=:Ngân hàng Thương Mại Nhà nước:=</t>
  </si>
  <si>
    <t>=:Công ty tài chính:=</t>
  </si>
  <si>
    <t>Công ty tài chính TNHH MTV Bưu điện</t>
  </si>
  <si>
    <t>Công ty tài chính TNHH MTV Cao su Việt Nam</t>
  </si>
  <si>
    <t>Công ty tài chính TNHH MTV Ngân hàng TMCP Hàng Hải Việt Nam</t>
  </si>
  <si>
    <t>Công ty tài chính cổ phần Điện Lực</t>
  </si>
  <si>
    <t>Công ty tài chính cổ phần Handico</t>
  </si>
  <si>
    <t>Công ty tài chính TNHH MTV Kỹ thương</t>
  </si>
  <si>
    <t>Công ty tài chính TNHH MTV Mirae Asset (Việt Nam)</t>
  </si>
  <si>
    <t xml:space="preserve">Công ty tài chính TNHH MTV Ngân hàng Việt Nam Thịnh Vượng </t>
  </si>
  <si>
    <t>Công ty tài chính TNHH HD Saison</t>
  </si>
  <si>
    <t>Công ty tài chính TNHH MTV Home credit Việt Nam</t>
  </si>
  <si>
    <t>Công ty tài chính TNHH MTV Prudential Việt Nam</t>
  </si>
  <si>
    <t>Công ty tài chính TNHH MTV Quốc tế Việt Nam JACCS</t>
  </si>
  <si>
    <t xml:space="preserve">Công ty tài chính cổ phần Sông Đà </t>
  </si>
  <si>
    <t>Công ty tài chính TNHH MTV Tàu thuỷ</t>
  </si>
  <si>
    <t xml:space="preserve">Công ty tài chính TNHH MTV Toyota Việt Nam </t>
  </si>
  <si>
    <t>Công ty tài chính cổ phần Vinaconex-Viettel</t>
  </si>
  <si>
    <t>Công ty tài chính cổ phần Xi Măng</t>
  </si>
  <si>
    <t>=:Công ty cho thuê tài chính:=</t>
  </si>
  <si>
    <t>7.1</t>
  </si>
  <si>
    <t>7.2</t>
  </si>
  <si>
    <t>Công ty CTTC TNHH MTV Công nghiệp Tàu thuỷ</t>
  </si>
  <si>
    <t>Công ty CTTC TNHH MTV Kexim Việt Nam</t>
  </si>
  <si>
    <t>Công ty CTTC TNHH MTV Ngân hàng Á Châu</t>
  </si>
  <si>
    <t>Công ty CTTC TNHH MTV Ngân hàng Công thương Việt Nam</t>
  </si>
  <si>
    <t>Công ty CTTC TNHH MTV Ngân hàng Đầu tư và Phát triển Việt Nam</t>
  </si>
  <si>
    <t>Công ty TNHH MTV CTTC Ngân hàng Ngoại thương Việt Nam</t>
  </si>
  <si>
    <t>Công ty CTTC I Ngân hàng Nông nghiệp và Phát triển Nông thôn Việt Nam</t>
  </si>
  <si>
    <t>Công ty CTTC II Ngân hàng Nông nghiệp và Phát triển Nông thôn Việt Nam</t>
  </si>
  <si>
    <t>Công ty TNHH MTV CTTC Ngân hàng Sài Gòn Thương Tín</t>
  </si>
  <si>
    <t>Công ty TNHH CTTC Quốc tế Việt Nam</t>
  </si>
  <si>
    <t>Công ty TNHH CTTC Quốc tế Chailease</t>
  </si>
  <si>
    <t>7.3</t>
  </si>
  <si>
    <t>7.4</t>
  </si>
  <si>
    <t>7.5</t>
  </si>
  <si>
    <t>7.6</t>
  </si>
  <si>
    <t>7.7</t>
  </si>
  <si>
    <t>7.8</t>
  </si>
  <si>
    <t>7.9</t>
  </si>
  <si>
    <t>7.10</t>
  </si>
  <si>
    <t>7.11</t>
  </si>
  <si>
    <t>=:Ngân hàng khác tại Việt Nam:=</t>
  </si>
  <si>
    <t>8.1</t>
  </si>
  <si>
    <t>8.2</t>
  </si>
  <si>
    <t>8.3</t>
  </si>
  <si>
    <t>8.4</t>
  </si>
  <si>
    <t>8.5</t>
  </si>
  <si>
    <t>8.6</t>
  </si>
  <si>
    <t>8.7</t>
  </si>
  <si>
    <t>8.8</t>
  </si>
  <si>
    <t>8.9</t>
  </si>
  <si>
    <t>8.10</t>
  </si>
  <si>
    <t>8.11</t>
  </si>
  <si>
    <t>7.12</t>
  </si>
  <si>
    <t>7.13</t>
  </si>
  <si>
    <t>7.14</t>
  </si>
  <si>
    <t>7.15</t>
  </si>
  <si>
    <t>7.16</t>
  </si>
  <si>
    <t>7.17</t>
  </si>
  <si>
    <t>9.1</t>
  </si>
  <si>
    <t>9.2</t>
  </si>
  <si>
    <t>9.3</t>
  </si>
  <si>
    <t>9.4</t>
  </si>
  <si>
    <t>9.5</t>
  </si>
  <si>
    <t>9.6</t>
  </si>
  <si>
    <t>9.7</t>
  </si>
  <si>
    <t>9.8</t>
  </si>
  <si>
    <t>Chưa có điều kiện thi hành</t>
  </si>
  <si>
    <t>CỤC TRƯỞNG</t>
  </si>
  <si>
    <t>Biểu mẫu số:01/TKTDNH-THADS 
Ban hành kèm theo Công văn số: 517 /TCTHADS-NV1 ngày 14/02/2017 của Tổng cục Thi hành án dân sự</t>
  </si>
  <si>
    <t>NGƯỜI LẬP BIỂU</t>
  </si>
  <si>
    <t>Lưu ý: ô bôi đỏ, không tính việc</t>
  </si>
  <si>
    <t>Chưa có điều kiện thi hành (chung)</t>
  </si>
  <si>
    <t>Tỷ lệ (Thi hành xong + đình chỉ) / Tổng số có điều kiện thi hành</t>
  </si>
  <si>
    <t>Khác</t>
  </si>
  <si>
    <t>CỤC THI HÀNH ÁN DÂN SỰ 
TỈNH KON TUM</t>
  </si>
  <si>
    <t>Chi cục THADS Thành phố Kon Tum</t>
  </si>
  <si>
    <t>IV</t>
  </si>
  <si>
    <t>Chi cục THADS huyện Đắk Tô</t>
  </si>
  <si>
    <t>Chi cục THDS huyện Ngọc Hồi</t>
  </si>
  <si>
    <t>V</t>
  </si>
  <si>
    <t>VI</t>
  </si>
  <si>
    <t>Chi cục THADS huyện Đắk Glei</t>
  </si>
  <si>
    <t>VII</t>
  </si>
  <si>
    <t>Chi cục THADS huyện Sa Thầy</t>
  </si>
  <si>
    <t>VIII</t>
  </si>
  <si>
    <t>Chi cục THADS huyện Kon Rẫy</t>
  </si>
  <si>
    <t>IX</t>
  </si>
  <si>
    <t>Chi cục THADS huyện Kon Plong</t>
  </si>
  <si>
    <t>X</t>
  </si>
  <si>
    <t>Chi cục THADS huyện Tu Mơ Rong</t>
  </si>
  <si>
    <t>XI</t>
  </si>
  <si>
    <t>Chi cục THADS huyện Ia H'Drai</t>
  </si>
  <si>
    <t>Phạm Anh Vũ</t>
  </si>
  <si>
    <t>Cao Minh Hoàng Tùng</t>
  </si>
  <si>
    <t>CỤC THI HÀNH ÁN DÂN SỰ TỈNH KON TUM</t>
  </si>
  <si>
    <t>Chi cục THADS 
huyện Đắk Hà</t>
  </si>
  <si>
    <t>Chi cục THADS 
thành phố Kon Tum</t>
  </si>
  <si>
    <t>Cục Thi hành án
 dân sự tỉnh</t>
  </si>
  <si>
    <t>04</t>
  </si>
  <si>
    <t>01</t>
  </si>
  <si>
    <t>03</t>
  </si>
  <si>
    <t>02</t>
  </si>
  <si>
    <t>Nguyễn Doãn Hiệp; Phạm Thị Mai</t>
  </si>
  <si>
    <t>16</t>
  </si>
  <si>
    <t>11</t>
  </si>
  <si>
    <t>08</t>
  </si>
  <si>
    <t>Y Thị Thanh Hương</t>
  </si>
  <si>
    <t>13</t>
  </si>
  <si>
    <t>28</t>
  </si>
  <si>
    <t>17</t>
  </si>
  <si>
    <t>42</t>
  </si>
  <si>
    <t>19</t>
  </si>
  <si>
    <t>Nguyễn Ngọc Quỳnh và Nguyễn Thị Lĩnh</t>
  </si>
  <si>
    <t>09</t>
  </si>
  <si>
    <t>Hà Thị Luyến và Phạm Đức Hưng</t>
  </si>
  <si>
    <t>Nguyễn Thị Kim Phương</t>
  </si>
  <si>
    <t>Triệu Đình Mọng và Lê Thị Bé</t>
  </si>
  <si>
    <t>TRần Văn Mão và TRần Thị Loan</t>
  </si>
  <si>
    <t>Vi Văn Quyết và Hà Thị Lan</t>
  </si>
  <si>
    <t>Công ty TNHH MTV Chi Tâm Kon Rẫy</t>
  </si>
  <si>
    <t>05</t>
  </si>
  <si>
    <t>Nguyễn Văn Nam</t>
  </si>
  <si>
    <t>US Linh &amp; Nguyễn Thị Mỹ Duyên</t>
  </si>
  <si>
    <t>07</t>
  </si>
  <si>
    <t>NGUYỄN THỊ LỆ</t>
  </si>
  <si>
    <t>Nguyễn Long Phụng - Đặng Thị Trúc Uyên</t>
  </si>
  <si>
    <t>Phan Văn Dương và Nguyễn Thị Hưng</t>
  </si>
  <si>
    <t>Trần Văn Long và Hà Thị Thành</t>
  </si>
  <si>
    <t>Nguyễn Đức Hoài - Ngô Thị Vân Kiều</t>
  </si>
  <si>
    <t>Đặng Thị Lương</t>
  </si>
  <si>
    <t xml:space="preserve">Nguyễn Văn Dũng, Trần Thị Tư </t>
  </si>
  <si>
    <t>Nguyễn Thị Oanh</t>
  </si>
  <si>
    <t>Phạm Văn Tố</t>
  </si>
  <si>
    <t>Lê Văn Bảy, Hà Thị Quyên</t>
  </si>
  <si>
    <t>Trương Thị Bích Ngọc</t>
  </si>
  <si>
    <t>Phan Văn Thi</t>
  </si>
  <si>
    <t>Nguyễn Thị Hồng</t>
  </si>
  <si>
    <t>Nguyễn Thị Liễu</t>
  </si>
  <si>
    <t>Phạm Quốc Hương, Vũ Thị Huyền Trang</t>
  </si>
  <si>
    <t>Y Thọ</t>
  </si>
  <si>
    <t>Võ Thị Phượng</t>
  </si>
  <si>
    <t>Vi Văn Hòa</t>
  </si>
  <si>
    <t>Ngân Thị Hiếu</t>
  </si>
  <si>
    <t>Trần Văn Khanh</t>
  </si>
  <si>
    <t>Vũ Đức Ngọc</t>
  </si>
  <si>
    <t>Lê Văn Xòe, Hà Thị Hừng</t>
  </si>
  <si>
    <t>Nguyễn Văn Duy, Đỗ Thúy An</t>
  </si>
  <si>
    <t>A Văn Bây</t>
  </si>
  <si>
    <t>Đậu Văn Hòe, Chu Thị Thơ</t>
  </si>
  <si>
    <t>Nguyễn Thị Hiền, Trương Xuân Tích</t>
  </si>
  <si>
    <t>Hoàng Trung Tần, Đinh Thị Thúy</t>
  </si>
  <si>
    <t>31</t>
  </si>
  <si>
    <t>226</t>
  </si>
  <si>
    <t>Thái Đình Vũ, Huỳnh Thị Phương</t>
  </si>
  <si>
    <t>27</t>
  </si>
  <si>
    <t>18</t>
  </si>
  <si>
    <t>87</t>
  </si>
  <si>
    <t>Hoàng Thị Hường, Nguyễn Hoàng Hải</t>
  </si>
  <si>
    <t>870</t>
  </si>
  <si>
    <t>Trần Văn Lực,
Bùi Thị Lành</t>
  </si>
  <si>
    <t>37</t>
  </si>
  <si>
    <t>1202</t>
  </si>
  <si>
    <t>Nguyễn Hồng Dũng</t>
  </si>
  <si>
    <t>1412</t>
  </si>
  <si>
    <t>Nguyễn Vinh Quang</t>
  </si>
  <si>
    <t>1255</t>
  </si>
  <si>
    <t>Huỳnh Thị Kinh Oanh
Nguyễn Hồng Dũng</t>
  </si>
  <si>
    <t>1211</t>
  </si>
  <si>
    <t>Nguyễn Hoàng Hải, Hoàng Thị Hường</t>
  </si>
  <si>
    <t>881</t>
  </si>
  <si>
    <t>Công ty TNHH Hiệp Phước Kon Tum</t>
  </si>
  <si>
    <t>36</t>
  </si>
  <si>
    <t>103</t>
  </si>
  <si>
    <t xml:space="preserve">Hoàng Thị Hường </t>
  </si>
  <si>
    <t>188</t>
  </si>
  <si>
    <t>Nguyễn Xuân Hiệu, Hồ Thị Thu Thúy</t>
  </si>
  <si>
    <t>432</t>
  </si>
  <si>
    <t>Nguyễn Xuân Tương, Nguyễn Thị Bích Thuận</t>
  </si>
  <si>
    <t>838</t>
  </si>
  <si>
    <t>Nguyễn Thị Thảo</t>
  </si>
  <si>
    <t>10</t>
  </si>
  <si>
    <t>26</t>
  </si>
  <si>
    <t>Trần Thị Chiến</t>
  </si>
  <si>
    <t>06</t>
  </si>
  <si>
    <t>1209</t>
  </si>
  <si>
    <t>Huỳnh Thị Kim Lan</t>
  </si>
  <si>
    <t>14</t>
  </si>
  <si>
    <t>15</t>
  </si>
  <si>
    <t>30</t>
  </si>
  <si>
    <t>51</t>
  </si>
  <si>
    <t>300</t>
  </si>
  <si>
    <t>Công ty TNHH Hoàng Kiến</t>
  </si>
  <si>
    <t>518</t>
  </si>
  <si>
    <t>Công ty TNHH Hoàng Lê</t>
  </si>
  <si>
    <t>519</t>
  </si>
  <si>
    <t>12</t>
  </si>
  <si>
    <t>368</t>
  </si>
  <si>
    <t>25</t>
  </si>
  <si>
    <t>389</t>
  </si>
  <si>
    <t>Đặng Thị Hương</t>
  </si>
  <si>
    <t>29</t>
  </si>
  <si>
    <t>864</t>
  </si>
  <si>
    <t>Nguyễn Thị Uyên Phương</t>
  </si>
  <si>
    <t>39</t>
  </si>
  <si>
    <t>23</t>
  </si>
  <si>
    <t>34</t>
  </si>
  <si>
    <t>109</t>
  </si>
  <si>
    <t>Đinh Chí Tuấn</t>
  </si>
  <si>
    <t>46</t>
  </si>
  <si>
    <t>1426</t>
  </si>
  <si>
    <t>Trần Minh Vũ</t>
  </si>
  <si>
    <t>357</t>
  </si>
  <si>
    <t>A Khánh</t>
  </si>
  <si>
    <t>1199</t>
  </si>
  <si>
    <t>Trần Thúy Hồng</t>
  </si>
  <si>
    <t>211</t>
  </si>
  <si>
    <t>561</t>
  </si>
  <si>
    <t>Lê Tú Anh</t>
  </si>
  <si>
    <t>184</t>
  </si>
  <si>
    <t>Nguyễn Văn Tuệ</t>
  </si>
  <si>
    <t>345</t>
  </si>
  <si>
    <t>Đặng Văn Tiến</t>
  </si>
  <si>
    <t>260</t>
  </si>
  <si>
    <t>Đặng Ngọc Khương+ Liễu</t>
  </si>
  <si>
    <t>439</t>
  </si>
  <si>
    <t>Nguyễn Hải Dương+hạnh</t>
  </si>
  <si>
    <t>91</t>
  </si>
  <si>
    <t>Y Duyên</t>
  </si>
  <si>
    <t>55</t>
  </si>
  <si>
    <t>161</t>
  </si>
  <si>
    <t>Tạ Văn Bảy</t>
  </si>
  <si>
    <t>40</t>
  </si>
  <si>
    <t>139</t>
  </si>
  <si>
    <t>Lăng Đức Mạnh, Đỗ Thị Miên</t>
  </si>
  <si>
    <t>Tạ Hùng Hưng</t>
  </si>
  <si>
    <t>Từ Thị Nguyên</t>
  </si>
  <si>
    <t>Vũ Quang, Vi Thị Hiền</t>
  </si>
  <si>
    <t>Nguyễn Thị Tâm Đoàn Văn Hải</t>
  </si>
  <si>
    <t>Nguyễn Thị Thắm</t>
  </si>
  <si>
    <t>288</t>
  </si>
  <si>
    <t>Nông Văn Luận, Đinh Thị Tuyên</t>
  </si>
  <si>
    <t>38a</t>
  </si>
  <si>
    <t>131</t>
  </si>
  <si>
    <t>Nguyễn Xuân Hoàn, Trần Thị Thủy</t>
  </si>
  <si>
    <t>Nguyễn Tài Sơn, Xuân Thị Yến</t>
  </si>
  <si>
    <t>Nguyễn Văn Lý, Nguyễn Thị Duyên</t>
  </si>
  <si>
    <t>A Hùng</t>
  </si>
  <si>
    <t>Nguyễn Nguyên Hoàng, Phạm Thị Ngọc Lên</t>
  </si>
  <si>
    <t>Lê Thái Thịnh</t>
  </si>
  <si>
    <t>84</t>
  </si>
  <si>
    <t>Vi Văn Nhớ, Y Xa</t>
  </si>
  <si>
    <t>43</t>
  </si>
  <si>
    <t>128</t>
  </si>
  <si>
    <t>Nguyễn Cao Trí</t>
  </si>
  <si>
    <t>93</t>
  </si>
  <si>
    <t>94</t>
  </si>
  <si>
    <t>Trần Thị Huyền</t>
  </si>
  <si>
    <t>182</t>
  </si>
  <si>
    <t>191</t>
  </si>
  <si>
    <t>997</t>
  </si>
  <si>
    <t>Công ty cổ phần Rạng Minh</t>
  </si>
  <si>
    <t>640</t>
  </si>
  <si>
    <t>Vi Văn Hòa, Võ Văn Đức</t>
  </si>
  <si>
    <t>412</t>
  </si>
  <si>
    <t>Trần Văn Sỹ, Nguyễn Thị Loan</t>
  </si>
  <si>
    <t>22</t>
  </si>
  <si>
    <t>Cty TM Thăng Long TNHH</t>
  </si>
  <si>
    <t>1293</t>
  </si>
  <si>
    <t>Công ty thương mại Thăng Long TNHH</t>
  </si>
  <si>
    <t>332</t>
  </si>
  <si>
    <t>Công ty CP vật tư DV NLN Kon Tum</t>
  </si>
  <si>
    <t>1253</t>
  </si>
  <si>
    <t>Lương Văn Chinh, Trần Thị Thanh Hoa</t>
  </si>
  <si>
    <t>Trình Thị Phi Ni</t>
  </si>
  <si>
    <t>1486</t>
  </si>
  <si>
    <t>485</t>
  </si>
  <si>
    <t>205</t>
  </si>
  <si>
    <t>172</t>
  </si>
  <si>
    <t>299</t>
  </si>
  <si>
    <t>1254</t>
  </si>
  <si>
    <t>BA/27</t>
  </si>
  <si>
    <t>BA/208</t>
  </si>
  <si>
    <t>BA/303</t>
  </si>
  <si>
    <t>BA/01</t>
  </si>
  <si>
    <t>BA/11</t>
  </si>
  <si>
    <t>QĐ/12</t>
  </si>
  <si>
    <t>QĐ/18</t>
  </si>
  <si>
    <t>QĐ/120</t>
  </si>
  <si>
    <t>QĐ/17</t>
  </si>
  <si>
    <t>Công ty TNHH xây dựng thương mại và vận tài Văn Chinh</t>
  </si>
  <si>
    <t>QĐ/03</t>
  </si>
  <si>
    <t>Công ty CP vật tư dịch vụ NLN</t>
  </si>
  <si>
    <t>BA/07</t>
  </si>
  <si>
    <t>BA/25</t>
  </si>
  <si>
    <t>Ninh Hồng Thanh, Nguyễn Thị Luật</t>
  </si>
  <si>
    <t>QĐ/02</t>
  </si>
  <si>
    <t>320</t>
  </si>
  <si>
    <t>QĐ/01</t>
  </si>
  <si>
    <t>414</t>
  </si>
  <si>
    <t>Phạm Xuân Tới, Nguyễn Ngọc Thảo Ly</t>
  </si>
  <si>
    <t>415</t>
  </si>
  <si>
    <t>Tạ Văn Tin, Lê Thị Hà</t>
  </si>
  <si>
    <t>QĐ/08</t>
  </si>
  <si>
    <t>384</t>
  </si>
  <si>
    <t>Trần Văn Hà, Trần Thị Hồng Hoa</t>
  </si>
  <si>
    <t>383</t>
  </si>
  <si>
    <t>Nguyễn Duy Đường, Nguyễn Thi Vóc</t>
  </si>
  <si>
    <t>QĐ/06</t>
  </si>
  <si>
    <t>458</t>
  </si>
  <si>
    <t>Nguyễn Văn Tuất, Nguyễn Thị Hà</t>
  </si>
  <si>
    <t>BA/05</t>
  </si>
  <si>
    <t>459</t>
  </si>
  <si>
    <t>Đỗ Quyết Thắng, Đinh Thị Hồng Loan</t>
  </si>
  <si>
    <t>BA/08</t>
  </si>
  <si>
    <t>455</t>
  </si>
  <si>
    <t>Nguyễn Thị Huệ, Tống Văn Khải</t>
  </si>
  <si>
    <t>QĐ/11</t>
  </si>
  <si>
    <t>Trần Ngọc An, Trần Thị Viên, Công ty TNHH Xuất nhập khẩu Đồng An Viên</t>
  </si>
  <si>
    <t>Nguyễn Trọng Tạo; Bùi Thị Thảo</t>
  </si>
  <si>
    <t>Hà Thị Hường</t>
  </si>
  <si>
    <t>Nguyễn Văn Hinh + Trần Thị Thắm</t>
  </si>
  <si>
    <t>21</t>
  </si>
  <si>
    <t>304</t>
  </si>
  <si>
    <t>Huỳnh Công Toàn, Trương Thị Diễm My</t>
  </si>
  <si>
    <t>41</t>
  </si>
  <si>
    <t>327</t>
  </si>
  <si>
    <t>Đỗ Thị Khánh Vân và Kring Xa Kim</t>
  </si>
  <si>
    <t>44</t>
  </si>
  <si>
    <t>328</t>
  </si>
  <si>
    <t>Nguyễn Thanh Hoàng và Trần Thị Lụa</t>
  </si>
  <si>
    <t>316</t>
  </si>
  <si>
    <t>Nguyễn Thị Cúc</t>
  </si>
  <si>
    <t>Nguyễn Văn Chức và Nguyễn Thị Huệ</t>
  </si>
  <si>
    <t>Nguyễn Tấn Khuê và Phan Thị Phú</t>
  </si>
  <si>
    <t>Chu Văn Hót và Lăng Thị Máy</t>
  </si>
  <si>
    <t>Giáp Văn Lâm và Giáp Thị Luyến</t>
  </si>
  <si>
    <t>453</t>
  </si>
  <si>
    <t>Nguyễn Văn Dương Phạm Thị Hồng</t>
  </si>
  <si>
    <t>210</t>
  </si>
  <si>
    <t>366</t>
  </si>
  <si>
    <t>Hoàng Xuân Đoàn</t>
  </si>
  <si>
    <t>45</t>
  </si>
  <si>
    <t>369</t>
  </si>
  <si>
    <t>Xa Văn Hùng</t>
  </si>
  <si>
    <t>Hà Tuấn Hưng</t>
  </si>
  <si>
    <t>460</t>
  </si>
  <si>
    <t>Nguyễn Thị Ánh Tuyết</t>
  </si>
  <si>
    <t>361</t>
  </si>
  <si>
    <t>Đoàn Thị Lệ Quyên</t>
  </si>
  <si>
    <t>MAI THỊ HƯƠNG</t>
  </si>
  <si>
    <t>NGUYỄN THỊ THU TÍNH - NGUYỄN VĂN XÁ</t>
  </si>
  <si>
    <t>BIỆN NGỌC VĂN</t>
  </si>
  <si>
    <t>PHẠM THỊ NGỌC HÀ</t>
  </si>
  <si>
    <t>Phạm Minh Chiến</t>
  </si>
  <si>
    <t>Vũ Xuân Toản</t>
  </si>
  <si>
    <t>Vũ Bá Bắc</t>
  </si>
  <si>
    <t>Trần Mạnh Tiến</t>
  </si>
  <si>
    <t xml:space="preserve">Nguyễn Đức Phú, Trần Thị Mỹ Lâm </t>
  </si>
  <si>
    <t>Y Thọ, U Đam Phan</t>
  </si>
  <si>
    <t>Lại Hoàng Hùng</t>
  </si>
  <si>
    <t>Dương Thị Thuận, Nguyễn Thanh Liêm</t>
  </si>
  <si>
    <t>Bùi Mạnh Dũng, Lê Thị Lượng</t>
  </si>
  <si>
    <t>1016</t>
  </si>
  <si>
    <t>Y Thía</t>
  </si>
  <si>
    <t>1109</t>
  </si>
  <si>
    <t>Phan Văn Vĩnh, Phạm Thị Minh</t>
  </si>
  <si>
    <t>1116</t>
  </si>
  <si>
    <t>Lê Thị Nga</t>
  </si>
  <si>
    <t>Chi cục THADS huyện 
Đắk Hà</t>
  </si>
  <si>
    <t xml:space="preserve">Đối với án tín dụng ngân hàng có uỷ thác đi: Nếu việc ủy thác toàn bộ thì không thống kê vào danh sách này
Nếu ủy thác một phần, đơn vị thống kê như sau: số tiền phải thi hành bằng số tiền thi xong một phần, phần số tiền đã thi hành bằng số tiền thi hành xong một phần, phần kết quả thi hành chọn thi hành xong </t>
  </si>
  <si>
    <t>Đối với việc thống kê số tiền phải thi hành: Nếu quyết định THA mới thì căn cứ vào QĐ THA để xác định số tiền phải thi hành, nếu QĐ THA chuyển từ năm trước chuyển sang thì số phải thi hành = Tổng số phải thi hành theo QĐ THA trừ đi số thi hành xong của kỳ trước</t>
  </si>
  <si>
    <t>Đơn vị tính của Danh sách là việc và 1.000 đồng.</t>
  </si>
  <si>
    <t>Cột ngày tháng năm của một số trường ngày tháng như ngày tháng năm của Bản án, quyết định, …. Phải có định dạng dd/mm/yyyy</t>
  </si>
  <si>
    <t xml:space="preserve">Tuyệt đối không thay đổi tên sheet, cấu trúc cột của Danh sách, chỉ được thêm dòng </t>
  </si>
  <si>
    <t>Ngô Quang Tài, Lê Thị Miện</t>
  </si>
  <si>
    <t>Vũ Đình Thi, Trần Thị Hằng</t>
  </si>
  <si>
    <t>A Yin, Y Tắp</t>
  </si>
  <si>
    <t>563</t>
  </si>
  <si>
    <t>Nguyễn Đức Huệ &amp;Võ Thị Thu Hà</t>
  </si>
  <si>
    <t>Chi cục Ngọc Hồi</t>
  </si>
  <si>
    <t>512</t>
  </si>
  <si>
    <t>Vũ Thành Kiên, Mai Thị Liên</t>
  </si>
  <si>
    <t>Chi cục Kon Rẫy</t>
  </si>
  <si>
    <t>20</t>
  </si>
  <si>
    <t>1130</t>
  </si>
  <si>
    <t>Hồ Quốc Lộc</t>
  </si>
  <si>
    <t>Tạ Thị Hiền</t>
  </si>
  <si>
    <t>62</t>
  </si>
  <si>
    <t>1214</t>
  </si>
  <si>
    <t>Nguyễn Thị Ái Quyên</t>
  </si>
  <si>
    <t>123</t>
  </si>
  <si>
    <t>Võ Thi Hiền, Lâm Đại Đức</t>
  </si>
  <si>
    <t>23A</t>
  </si>
  <si>
    <t>Võ Minh Tươi, Lương</t>
  </si>
  <si>
    <t>Nguyễn Văn Hùng, Nguyễn Thị Dung</t>
  </si>
  <si>
    <t>Phùng Quang Trung, Trần Thị Lương</t>
  </si>
  <si>
    <t>Hoàng Văn Trọng Đinh Thị Mậu</t>
  </si>
  <si>
    <t>bưu Điện Liên Việt (LienVietPostBank)</t>
  </si>
  <si>
    <t>Hoàng văn Quốc- Thúy</t>
  </si>
  <si>
    <t>Võ Tá Tiến, Bùi Thị Thảo</t>
  </si>
  <si>
    <t xml:space="preserve">04/2021/DS-ST </t>
  </si>
  <si>
    <t>03/2021/DS-ST</t>
  </si>
  <si>
    <t>Trần Thị Phương + Lê Quang Điền</t>
  </si>
  <si>
    <t>02/2019/DS-ST</t>
  </si>
  <si>
    <t xml:space="preserve">Nguyễn Mạnh Cường+Nguyễn Thu Hương+ Nguyễn Minh Đắc+Nguyễn Tiến Đạt </t>
  </si>
  <si>
    <t>37/2021/QĐST-DS</t>
  </si>
  <si>
    <t>Võ Thị Liễu</t>
  </si>
  <si>
    <t>Đinh Khắc Hào, Mai Thị Thu Thuý</t>
  </si>
  <si>
    <t>Nguyễn Văn Minh, Nguyễn Thị Diện</t>
  </si>
  <si>
    <t>Nguyễn Văn Dương, Phạm Thị Xuân</t>
  </si>
  <si>
    <t>89</t>
  </si>
  <si>
    <t>Nguyễn Quốc Hải, Trịnh Thị Xuân</t>
  </si>
  <si>
    <t>24</t>
  </si>
  <si>
    <t>Hà Thị Lái</t>
  </si>
  <si>
    <t>102</t>
  </si>
  <si>
    <t>116</t>
  </si>
  <si>
    <t>Võ Anh Dũng, Hoàng Nữ Quỳnh Chi</t>
  </si>
  <si>
    <t>169</t>
  </si>
  <si>
    <t>Phạm Văn Giáp, Đinh Thị Thạch</t>
  </si>
  <si>
    <t>164</t>
  </si>
  <si>
    <t>Hứa Văn Vụ, Lương Thị Thích</t>
  </si>
  <si>
    <t>165</t>
  </si>
  <si>
    <t>Trần Văn Thiện,Lan</t>
  </si>
  <si>
    <t>190</t>
  </si>
  <si>
    <t>06/2021/QĐST-DS</t>
  </si>
  <si>
    <t>58</t>
  </si>
  <si>
    <t>Nguyễn Kim Cương, hương, uy, ly</t>
  </si>
  <si>
    <t>TRẦN XUÂN TUYẾN - NGUYỄN THỊ THU HƯƠNG</t>
  </si>
  <si>
    <t>VÕ THỊ CƯƠNG</t>
  </si>
  <si>
    <t>04/2019/DSST</t>
  </si>
  <si>
    <t>BA/03</t>
  </si>
  <si>
    <t>Công ty TNHH MTV Tiến Hưng Thành</t>
  </si>
  <si>
    <t>606</t>
  </si>
  <si>
    <t>Nguyễn Văn Oanh và Văn Trương Ngọc Hồng</t>
  </si>
  <si>
    <t>Phạm thị Mai Thanh</t>
  </si>
  <si>
    <t>249</t>
  </si>
  <si>
    <t>250</t>
  </si>
  <si>
    <t>Trần Tuấn Ngọc</t>
  </si>
  <si>
    <t>253</t>
  </si>
  <si>
    <t>Nguyễn Thị Huệ</t>
  </si>
  <si>
    <t>257</t>
  </si>
  <si>
    <t>Nguyễn Thanh Hải</t>
  </si>
  <si>
    <t>258</t>
  </si>
  <si>
    <t>Hoàng Mạnh Tuân</t>
  </si>
  <si>
    <t>308</t>
  </si>
  <si>
    <t>309</t>
  </si>
  <si>
    <t>Nguyễn Văn Sỹ</t>
  </si>
  <si>
    <t>Nguyễn Văn Phi</t>
  </si>
  <si>
    <t>Nguyễn Thanh Liêm; Bùi Thị Quy</t>
  </si>
  <si>
    <t>Lê Viết Dũng</t>
  </si>
  <si>
    <t>Chi cục Đắk Tô</t>
  </si>
  <si>
    <t>Chi cục Đắk Glei</t>
  </si>
  <si>
    <t>Chi cục Sa Thầy</t>
  </si>
  <si>
    <t>PQ/1998</t>
  </si>
  <si>
    <t>126</t>
  </si>
  <si>
    <t>Đào Thị Diễm Thúy</t>
  </si>
  <si>
    <t>Trần Huy Tân, Ngọc</t>
  </si>
  <si>
    <t>Y Liên</t>
  </si>
  <si>
    <t>A Thu, Y Mãi</t>
  </si>
  <si>
    <t>Đặng Ánh Tân</t>
  </si>
  <si>
    <t>1026</t>
  </si>
  <si>
    <t>Lưu Châu Bảo Trâm</t>
  </si>
  <si>
    <t>ĐINH THỊ LÝ</t>
  </si>
  <si>
    <t>TRẦN VĂN QUANG</t>
  </si>
  <si>
    <t>373</t>
  </si>
  <si>
    <t>Nguyễn Long Thịnh, Nguyễn Thị Dự</t>
  </si>
  <si>
    <t>379</t>
  </si>
  <si>
    <t>1335</t>
  </si>
  <si>
    <t>Bùi Xuân Tuyến</t>
  </si>
  <si>
    <t>408</t>
  </si>
  <si>
    <t>Nguyễn Thị Kim Loam</t>
  </si>
  <si>
    <t>263</t>
  </si>
  <si>
    <t>Lê Xuân Thanh</t>
  </si>
  <si>
    <t>Nguyễn Ngọc Cương</t>
  </si>
  <si>
    <t>Phạm Hồng Ánh</t>
  </si>
  <si>
    <t>Đinh Bá Việt, Nhung</t>
  </si>
  <si>
    <t>Đỗ Quyết Thắng, Loan</t>
  </si>
  <si>
    <t>Phạm Thị Trà Giang</t>
  </si>
  <si>
    <t>A Vun, Y Huyền</t>
  </si>
  <si>
    <t>Nguyễn Quang Minh, Thắm</t>
  </si>
  <si>
    <t>Lê Thị Huyền, Hồng</t>
  </si>
  <si>
    <t>Phạm Thành Ngọc, Tuyến</t>
  </si>
  <si>
    <t>Dương Ngọc Bằng, Liên</t>
  </si>
  <si>
    <t>Hồ Thị Xuân Uyên</t>
  </si>
  <si>
    <t>A Sa, Y Bởi</t>
  </si>
  <si>
    <t>13/2021/DS-ST</t>
  </si>
  <si>
    <t>Nguyễn Thị Nga + Đỗ Quyết Thắng</t>
  </si>
  <si>
    <t>04/2021/KDTM-ST</t>
  </si>
  <si>
    <t>22/2022/DS-ST</t>
  </si>
  <si>
    <t>21/2022/DS-ST</t>
  </si>
  <si>
    <t>19/2022/DS-ST</t>
  </si>
  <si>
    <t>Y Lan+ Nghe Đăm Hiếu</t>
  </si>
  <si>
    <t>13/2022/DS-ST</t>
  </si>
  <si>
    <t>Phạm Thanh Lâm+ Đinh Thị Tuyết Mai</t>
  </si>
  <si>
    <t>20/2022/DS-ST</t>
  </si>
  <si>
    <t>Nguyễn Thị Thu Hoài+ Đoàn Ngọc Lợi</t>
  </si>
  <si>
    <t>12/2022/DS-ST</t>
  </si>
  <si>
    <t>Lê Văn Chung+ Lê Thị Hoàn</t>
  </si>
  <si>
    <t>09/2022/DS-ST</t>
  </si>
  <si>
    <t>Đào Văn Tuấn+ Lê thị Hằng</t>
  </si>
  <si>
    <t>10/2022/DS-ST</t>
  </si>
  <si>
    <t>Hà Thị Lái+ Nguyễn Văn Khanh</t>
  </si>
  <si>
    <t>24/2022/DS-ST</t>
  </si>
  <si>
    <t>Đàm Thị Phượng+Lê Minh Quyết</t>
  </si>
  <si>
    <t>Nguyễn Thị Lệ, Trần Văn Thuận</t>
  </si>
  <si>
    <t>48</t>
  </si>
  <si>
    <t>Lăng Văn Dân, Hoàng Thị Hân</t>
  </si>
  <si>
    <t>63</t>
  </si>
  <si>
    <t>Vũ Đình Phong, Nguyễn Thị Thêu</t>
  </si>
  <si>
    <t>90</t>
  </si>
  <si>
    <t>Nguyễn Văn Cường</t>
  </si>
  <si>
    <t>95</t>
  </si>
  <si>
    <t>Nguyễn Thị Xang, Phạm Đức Chính</t>
  </si>
  <si>
    <t>96</t>
  </si>
  <si>
    <t>Nguyễn Văn Tuyến</t>
  </si>
  <si>
    <t>97</t>
  </si>
  <si>
    <t>Phạm Thanh Tuyền</t>
  </si>
  <si>
    <t>Đỗ Thị Yến</t>
  </si>
  <si>
    <t>127</t>
  </si>
  <si>
    <t>Nguyễn Văn Hạnh, Nguyễn Thị Nhường</t>
  </si>
  <si>
    <t>158</t>
  </si>
  <si>
    <t>Dương Thị Mai Ly</t>
  </si>
  <si>
    <t>Phạm Đức Chính, Nguyễn Thị Xang</t>
  </si>
  <si>
    <t>Đặng Đức Thuân và bà Dương Thị Mái</t>
  </si>
  <si>
    <t xml:space="preserve">02/2021/QĐST-DS  </t>
  </si>
  <si>
    <t>Y Linh</t>
  </si>
  <si>
    <t xml:space="preserve">07/2021/QĐST-DS  </t>
  </si>
  <si>
    <t>A LIEIH bà Y Nít</t>
  </si>
  <si>
    <t xml:space="preserve">01/2021/QĐST-KDTM  </t>
  </si>
  <si>
    <t>A Thảo</t>
  </si>
  <si>
    <t xml:space="preserve">01/2021/KDTM-ST </t>
  </si>
  <si>
    <t xml:space="preserve">A Phiêy và bà Y Hòa </t>
  </si>
  <si>
    <t xml:space="preserve">03/2021/QĐST-DS </t>
  </si>
  <si>
    <t xml:space="preserve"> A Ral và bà Y Nít</t>
  </si>
  <si>
    <t xml:space="preserve">01/2022/QĐST-KDTM  </t>
  </si>
  <si>
    <t>17/10/1022</t>
  </si>
  <si>
    <t>A Thịnh bà Y Mùa</t>
  </si>
  <si>
    <t>A Hải, Y Khảo</t>
  </si>
  <si>
    <t>Vi Văn Vấn, Y Loan</t>
  </si>
  <si>
    <t>Phạm Nam Nhật, Trần Thị Vân</t>
  </si>
  <si>
    <t>Cao Viết Khanh, Y Quyết</t>
  </si>
  <si>
    <t>A Quát; Y Phăng</t>
  </si>
  <si>
    <t>ĐINH THỊ HỒNG</t>
  </si>
  <si>
    <t>Hoàng Trọng Tú
Nguyễn Thị Thanh Tâm</t>
  </si>
  <si>
    <t>825</t>
  </si>
  <si>
    <t>Lê Thị Hồng Tha</t>
  </si>
  <si>
    <t>393</t>
  </si>
  <si>
    <t>Trần Ngọc Liên Ngân, Phan Thị Tuyết Phượng</t>
  </si>
  <si>
    <t>559</t>
  </si>
  <si>
    <t>Phan Văn Hiển</t>
  </si>
  <si>
    <t>Le Thế Sơn VũThị Lệ</t>
  </si>
  <si>
    <t>Nguyễn Văn Tuất Nguyễn Thị Hà</t>
  </si>
  <si>
    <t>Phạm Văn Phương Phạm Thị Mừng</t>
  </si>
  <si>
    <t>Võ Minh Tuỳnh Lê Thị Loan</t>
  </si>
  <si>
    <t>A Văn Thương</t>
  </si>
  <si>
    <t>01/2022/KDTM-ST</t>
  </si>
  <si>
    <t>13/2022/DS_ST</t>
  </si>
  <si>
    <t>Nguyễn Hồng Thái+Nguyễn Thái Tri</t>
  </si>
  <si>
    <t>Trần Thị Luyến+Lê Văn Việt</t>
  </si>
  <si>
    <t>Vi Thị Thu Hương</t>
  </si>
  <si>
    <t>Vi Ngọc Sơn</t>
  </si>
  <si>
    <t>A Líp</t>
  </si>
  <si>
    <t>Nguyễn Công Hoan</t>
  </si>
  <si>
    <t>Trần Thị Ngọc</t>
  </si>
  <si>
    <t>Vũ Văn Duy</t>
  </si>
  <si>
    <t>Nguyễn Thị Mỹ Hiệp; Nguyễn văn Nghĩa</t>
  </si>
  <si>
    <t>TRẦN XUÂN LINH</t>
  </si>
  <si>
    <t>CHU VĂN DẬU VÀ NGUYỄN THỊ SON</t>
  </si>
  <si>
    <t>ĐẶNG THỊ THỦY MAI - VŨ DUY HÙNG</t>
  </si>
  <si>
    <t>NGUYỄN THỊ SANH - CHÂU</t>
  </si>
  <si>
    <t>Y BÔM</t>
  </si>
  <si>
    <t>Công ty TNHH MTV Thiện Chí Kon Tum</t>
  </si>
  <si>
    <t>PQ/11772</t>
  </si>
  <si>
    <t>136</t>
  </si>
  <si>
    <t>Phan Văn Lào</t>
  </si>
  <si>
    <t>DĐặng ánh Tân</t>
  </si>
  <si>
    <t>Nguyễn NgọcẢnh Đinh Thị Thủy</t>
  </si>
  <si>
    <t>914</t>
  </si>
  <si>
    <t>VI Đức Sàng</t>
  </si>
  <si>
    <t>Lê Trọng Đại</t>
  </si>
  <si>
    <t>Hoàng Yến</t>
  </si>
  <si>
    <t>556</t>
  </si>
  <si>
    <t>Hoàng Hải Đăng</t>
  </si>
  <si>
    <t>1020</t>
  </si>
  <si>
    <t>Lê Thị Tâm</t>
  </si>
  <si>
    <t>1025</t>
  </si>
  <si>
    <t>Nguyễn Văn Sơn- Phan Thị Lý</t>
  </si>
  <si>
    <t>Lê Thị Huệ</t>
  </si>
  <si>
    <t>A Lip, Y Dor</t>
  </si>
  <si>
    <t>BAN PHÁP CHẾ HĐND 
TỈNH KON TUM</t>
  </si>
  <si>
    <r>
      <t xml:space="preserve">DANH SÁCH VIỆC THI HÀNH ÁN LIÊN QUAN ĐẾN TỔ CHỨC
 TÍN DỤNG NGÂN HÀNG 
</t>
    </r>
    <r>
      <rPr>
        <i/>
        <sz val="11"/>
        <color indexed="8"/>
        <rFont val="Times New Roman"/>
        <family val="1"/>
      </rPr>
      <t xml:space="preserve">Từ 01/01/2023 đến ngày 24/10/2023
</t>
    </r>
  </si>
  <si>
    <t>Kon Tum , ngày        tháng 11 năm 2023</t>
  </si>
  <si>
    <t xml:space="preserve">DANH SÁCH VIỆC CHƯA CÓ ĐIỀU KIỆN MỘT PHẦN LIÊN QUAN ĐẾN TỔ CHỨC TÍN DỤNG NGÂN HÀNG
Từ 01/01/2023 đến 24/10/2023 </t>
  </si>
  <si>
    <t>Kon Tum, ngày          tháng 11 năm 2023</t>
  </si>
  <si>
    <t>Kon Tum, ngày         tháng  11 năm 2023</t>
  </si>
  <si>
    <t>Kon Tum, ngày        tháng  11 năm 2023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</si>
</sst>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mmm\-yyyy"/>
    <numFmt numFmtId="179" formatCode="[$-1010000]d/m/yyyy;@"/>
    <numFmt numFmtId="180" formatCode="0.0%"/>
    <numFmt numFmtId="181" formatCode="[$-409]dddd\,\ mmmm\ d\,\ yyyy"/>
    <numFmt numFmtId="182" formatCode="[$-409]h:mm:ss\ AM/PM"/>
    <numFmt numFmtId="183" formatCode="d/mm/yyyy;@"/>
    <numFmt numFmtId="184" formatCode="dd/mm/yyyy;@"/>
    <numFmt numFmtId="185" formatCode="dd\.mm\.yyyy;@"/>
    <numFmt numFmtId="186" formatCode="_(* #,##0_);_(* \(#,##0\);_(* &quot;&quot;_);_(@_)"/>
  </numFmts>
  <fonts count="100">
    <font>
      <sz val="11"/>
      <color theme="1"/>
      <name val="Calibri"/>
      <family val="2"/>
    </font>
    <font>
      <sz val="11"/>
      <color indexed="8"/>
      <name val="Calibri"/>
      <family val="2"/>
    </font>
    <font>
      <sz val="12"/>
      <name val="Times New Roman"/>
      <family val="1"/>
    </font>
    <font>
      <b/>
      <sz val="11"/>
      <color indexed="8"/>
      <name val="Times New Roman"/>
      <family val="1"/>
    </font>
    <font>
      <sz val="11"/>
      <color indexed="8"/>
      <name val="Times New Roman"/>
      <family val="1"/>
    </font>
    <font>
      <i/>
      <sz val="11"/>
      <color indexed="8"/>
      <name val="Times New Roman"/>
      <family val="1"/>
    </font>
    <font>
      <sz val="10"/>
      <name val="Times New Roman"/>
      <family val="1"/>
    </font>
    <font>
      <sz val="10"/>
      <color indexed="8"/>
      <name val="Times New Roman"/>
      <family val="1"/>
    </font>
    <font>
      <i/>
      <sz val="10"/>
      <color indexed="8"/>
      <name val="Times New Roman"/>
      <family val="1"/>
    </font>
    <font>
      <i/>
      <sz val="11"/>
      <name val="Times New Roman"/>
      <family val="1"/>
    </font>
    <font>
      <b/>
      <sz val="11"/>
      <name val="Times New Roman"/>
      <family val="1"/>
    </font>
    <font>
      <sz val="12"/>
      <name val=".VnTime"/>
      <family val="2"/>
    </font>
    <font>
      <sz val="8"/>
      <color indexed="8"/>
      <name val="Times New Roman"/>
      <family val="1"/>
    </font>
    <font>
      <sz val="8"/>
      <name val="Times New Roman"/>
      <family val="1"/>
    </font>
    <font>
      <b/>
      <sz val="8"/>
      <name val="Times New Roman"/>
      <family val="1"/>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1"/>
      <name val="Calibri"/>
      <family val="2"/>
    </font>
    <font>
      <b/>
      <sz val="12"/>
      <color indexed="8"/>
      <name val="Times New Roman"/>
      <family val="1"/>
    </font>
    <font>
      <sz val="13"/>
      <color indexed="8"/>
      <name val="Times New Roman"/>
      <family val="1"/>
    </font>
    <font>
      <sz val="10"/>
      <name val="Calibri"/>
      <family val="2"/>
    </font>
    <font>
      <b/>
      <sz val="10"/>
      <name val="Calibri"/>
      <family val="2"/>
    </font>
    <font>
      <b/>
      <sz val="13"/>
      <color indexed="8"/>
      <name val="Times New Roman"/>
      <family val="1"/>
    </font>
    <font>
      <b/>
      <sz val="8"/>
      <color indexed="8"/>
      <name val="Times New Roman"/>
      <family val="1"/>
    </font>
    <font>
      <b/>
      <i/>
      <sz val="8"/>
      <color indexed="8"/>
      <name val="Times New Roman"/>
      <family val="1"/>
    </font>
    <font>
      <sz val="11"/>
      <color indexed="10"/>
      <name val="Times New Roman"/>
      <family val="1"/>
    </font>
    <font>
      <b/>
      <sz val="8"/>
      <color indexed="10"/>
      <name val="Times New Roman"/>
      <family val="1"/>
    </font>
    <font>
      <sz val="8"/>
      <color indexed="10"/>
      <name val="Times New Roman"/>
      <family val="1"/>
    </font>
    <font>
      <b/>
      <sz val="11"/>
      <color indexed="10"/>
      <name val="Times New Roman"/>
      <family val="1"/>
    </font>
    <font>
      <sz val="8"/>
      <name val="Calibri"/>
      <family val="2"/>
    </font>
    <font>
      <b/>
      <sz val="10"/>
      <color indexed="10"/>
      <name val="Times New Roman"/>
      <family val="1"/>
    </font>
    <font>
      <sz val="11.5"/>
      <color indexed="56"/>
      <name val="Times New Roman"/>
      <family val="1"/>
    </font>
    <font>
      <b/>
      <i/>
      <sz val="11"/>
      <color indexed="10"/>
      <name val="Times New Roman"/>
      <family val="1"/>
    </font>
    <font>
      <b/>
      <sz val="18"/>
      <color indexed="8"/>
      <name val="Calibri"/>
      <family val="2"/>
    </font>
    <font>
      <b/>
      <sz val="12"/>
      <color indexed="9"/>
      <name val="Calibri"/>
      <family val="2"/>
    </font>
    <font>
      <b/>
      <sz val="18"/>
      <color indexed="9"/>
      <name val="Times New Roman"/>
      <family val="1"/>
    </font>
    <font>
      <i/>
      <sz val="13"/>
      <color indexed="8"/>
      <name val="Times New Roman"/>
      <family val="1"/>
    </font>
    <font>
      <b/>
      <sz val="18"/>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sz val="10"/>
      <color theme="1"/>
      <name val="Calibri"/>
      <family val="2"/>
    </font>
    <font>
      <b/>
      <sz val="12"/>
      <color theme="1"/>
      <name val="Times New Roman"/>
      <family val="1"/>
    </font>
    <font>
      <sz val="10"/>
      <color theme="1"/>
      <name val="Times New Roman"/>
      <family val="1"/>
    </font>
    <font>
      <sz val="13"/>
      <color theme="1"/>
      <name val="Times New Roman"/>
      <family val="1"/>
    </font>
    <font>
      <b/>
      <sz val="13"/>
      <color theme="1"/>
      <name val="Times New Roman"/>
      <family val="1"/>
    </font>
    <font>
      <sz val="8"/>
      <color theme="1"/>
      <name val="Times New Roman"/>
      <family val="1"/>
    </font>
    <font>
      <b/>
      <sz val="8"/>
      <color theme="1"/>
      <name val="Times New Roman"/>
      <family val="1"/>
    </font>
    <font>
      <b/>
      <i/>
      <sz val="8"/>
      <color theme="1"/>
      <name val="Times New Roman"/>
      <family val="1"/>
    </font>
    <font>
      <sz val="11"/>
      <color rgb="FFFF0000"/>
      <name val="Times New Roman"/>
      <family val="1"/>
    </font>
    <font>
      <b/>
      <sz val="8"/>
      <color rgb="FFFF0000"/>
      <name val="Times New Roman"/>
      <family val="1"/>
    </font>
    <font>
      <sz val="8"/>
      <color rgb="FFFF0000"/>
      <name val="Times New Roman"/>
      <family val="1"/>
    </font>
    <font>
      <b/>
      <sz val="11"/>
      <color rgb="FFFF0000"/>
      <name val="Times New Roman"/>
      <family val="1"/>
    </font>
    <font>
      <b/>
      <sz val="10"/>
      <color rgb="FFFF0000"/>
      <name val="Times New Roman"/>
      <family val="1"/>
    </font>
    <font>
      <sz val="11.5"/>
      <color rgb="FF001A33"/>
      <name val="Times New Roman"/>
      <family val="1"/>
    </font>
    <font>
      <b/>
      <i/>
      <sz val="11"/>
      <color rgb="FFFF0000"/>
      <name val="Times New Roman"/>
      <family val="1"/>
    </font>
    <font>
      <i/>
      <sz val="11"/>
      <color theme="1"/>
      <name val="Times New Roman"/>
      <family val="1"/>
    </font>
    <font>
      <i/>
      <sz val="10"/>
      <color theme="1"/>
      <name val="Times New Roman"/>
      <family val="1"/>
    </font>
    <font>
      <b/>
      <sz val="18"/>
      <color theme="1"/>
      <name val="Calibri"/>
      <family val="2"/>
    </font>
    <font>
      <b/>
      <sz val="12"/>
      <color theme="0"/>
      <name val="Calibri"/>
      <family val="2"/>
    </font>
    <font>
      <b/>
      <sz val="18"/>
      <color theme="0"/>
      <name val="Times New Roman"/>
      <family val="1"/>
    </font>
    <font>
      <i/>
      <sz val="13"/>
      <color theme="1"/>
      <name val="Times New Roman"/>
      <family val="1"/>
    </font>
    <font>
      <b/>
      <sz val="18"/>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rgb="FF00B0F0"/>
        <bgColor indexed="64"/>
      </patternFill>
    </fill>
    <fill>
      <patternFill patternType="solid">
        <fgColor theme="0" tint="-0.1499900072813034"/>
        <bgColor indexed="64"/>
      </patternFill>
    </fill>
    <fill>
      <patternFill patternType="solid">
        <fgColor rgb="FFD9D9D9"/>
        <bgColor indexed="64"/>
      </patternFill>
    </fill>
    <fill>
      <patternFill patternType="solid">
        <fgColor theme="0" tint="-0.04997999966144562"/>
        <bgColor indexed="64"/>
      </patternFill>
    </fill>
    <fill>
      <patternFill patternType="solid">
        <fgColor theme="0"/>
        <bgColor indexed="64"/>
      </patternFill>
    </fill>
    <fill>
      <patternFill patternType="solid">
        <fgColor rgb="FFFF0000"/>
        <bgColor indexed="64"/>
      </patternFill>
    </fill>
    <fill>
      <patternFill patternType="solid">
        <fgColor rgb="FF0070C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2" fillId="0" borderId="0">
      <alignment/>
      <protection/>
    </xf>
    <xf numFmtId="0" fontId="15" fillId="0" borderId="0">
      <alignment/>
      <protection/>
    </xf>
    <xf numFmtId="0" fontId="71"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86">
    <xf numFmtId="0" fontId="0" fillId="0" borderId="0" xfId="0" applyFont="1" applyAlignment="1">
      <alignment/>
    </xf>
    <xf numFmtId="0" fontId="0" fillId="0" borderId="0" xfId="0" applyAlignment="1">
      <alignment horizontal="center"/>
    </xf>
    <xf numFmtId="0" fontId="76" fillId="0" borderId="0" xfId="0" applyFont="1" applyAlignment="1">
      <alignment vertical="center" wrapText="1"/>
    </xf>
    <xf numFmtId="0" fontId="77" fillId="0" borderId="0" xfId="0" applyFont="1" applyAlignment="1">
      <alignment/>
    </xf>
    <xf numFmtId="0" fontId="77" fillId="0" borderId="0" xfId="0" applyFont="1" applyBorder="1" applyAlignment="1">
      <alignment horizontal="left"/>
    </xf>
    <xf numFmtId="0" fontId="76" fillId="0" borderId="10" xfId="0" applyFont="1" applyBorder="1" applyAlignment="1">
      <alignment vertical="center" wrapText="1"/>
    </xf>
    <xf numFmtId="0" fontId="77" fillId="0" borderId="0" xfId="0" applyFont="1" applyAlignment="1">
      <alignment wrapText="1"/>
    </xf>
    <xf numFmtId="0" fontId="76" fillId="0" borderId="0" xfId="0" applyFont="1" applyAlignment="1">
      <alignment horizontal="center" vertical="center" wrapText="1"/>
    </xf>
    <xf numFmtId="0" fontId="76" fillId="0" borderId="10" xfId="0" applyFont="1" applyBorder="1" applyAlignment="1">
      <alignment horizontal="center" vertical="center" wrapText="1"/>
    </xf>
    <xf numFmtId="0" fontId="74" fillId="33" borderId="11" xfId="0" applyFont="1" applyFill="1" applyBorder="1" applyAlignment="1">
      <alignment horizontal="center" vertical="center"/>
    </xf>
    <xf numFmtId="0" fontId="0" fillId="0" borderId="0" xfId="0" applyAlignment="1" applyProtection="1">
      <alignment horizontal="center"/>
      <protection locked="0"/>
    </xf>
    <xf numFmtId="0" fontId="0" fillId="0" borderId="0" xfId="0" applyAlignment="1" applyProtection="1">
      <alignment/>
      <protection locked="0"/>
    </xf>
    <xf numFmtId="0" fontId="78" fillId="0" borderId="11" xfId="0" applyFont="1" applyBorder="1" applyAlignment="1" applyProtection="1">
      <alignment horizontal="center" vertical="center" wrapText="1"/>
      <protection locked="0"/>
    </xf>
    <xf numFmtId="0" fontId="36" fillId="34" borderId="11" xfId="0" applyFont="1" applyFill="1" applyBorder="1" applyAlignment="1" applyProtection="1">
      <alignment horizontal="center" vertical="center"/>
      <protection locked="0"/>
    </xf>
    <xf numFmtId="0" fontId="36" fillId="34" borderId="11" xfId="0" applyFont="1" applyFill="1" applyBorder="1" applyAlignment="1" applyProtection="1">
      <alignment horizontal="left" vertical="center" wrapText="1"/>
      <protection locked="0"/>
    </xf>
    <xf numFmtId="0" fontId="0" fillId="0" borderId="11" xfId="0" applyBorder="1" applyAlignment="1" applyProtection="1">
      <alignment horizontal="center" vertical="center"/>
      <protection locked="0"/>
    </xf>
    <xf numFmtId="0" fontId="0" fillId="0" borderId="11" xfId="0" applyBorder="1" applyAlignment="1" applyProtection="1">
      <alignment horizontal="left" vertical="center" wrapText="1" indent="3"/>
      <protection locked="0"/>
    </xf>
    <xf numFmtId="0" fontId="60" fillId="35" borderId="11" xfId="0" applyFont="1" applyFill="1" applyBorder="1" applyAlignment="1" applyProtection="1">
      <alignment horizontal="center" vertical="center"/>
      <protection locked="0"/>
    </xf>
    <xf numFmtId="172" fontId="36" fillId="34" borderId="11" xfId="42" applyNumberFormat="1" applyFont="1" applyFill="1" applyBorder="1" applyAlignment="1" applyProtection="1">
      <alignment horizontal="right" vertical="center" wrapText="1" indent="1"/>
      <protection/>
    </xf>
    <xf numFmtId="172" fontId="0" fillId="0" borderId="11" xfId="42" applyNumberFormat="1" applyFont="1" applyBorder="1" applyAlignment="1" applyProtection="1">
      <alignment horizontal="right" vertical="center" wrapText="1" indent="1"/>
      <protection/>
    </xf>
    <xf numFmtId="172" fontId="60" fillId="35" borderId="11" xfId="42" applyNumberFormat="1" applyFont="1" applyFill="1" applyBorder="1" applyAlignment="1" applyProtection="1">
      <alignment horizontal="right" vertical="center" wrapText="1" indent="1"/>
      <protection/>
    </xf>
    <xf numFmtId="172" fontId="0" fillId="0" borderId="0" xfId="0" applyNumberFormat="1" applyAlignment="1" applyProtection="1">
      <alignment/>
      <protection locked="0"/>
    </xf>
    <xf numFmtId="0" fontId="3" fillId="0" borderId="0" xfId="0" applyFont="1" applyAlignment="1">
      <alignment horizontal="center" vertical="center" wrapText="1"/>
    </xf>
    <xf numFmtId="0" fontId="0" fillId="0" borderId="11" xfId="0" applyBorder="1" applyAlignment="1">
      <alignment horizontal="left" indent="1"/>
    </xf>
    <xf numFmtId="0" fontId="0" fillId="0" borderId="11" xfId="0" applyFont="1" applyFill="1" applyBorder="1" applyAlignment="1">
      <alignment horizontal="center"/>
    </xf>
    <xf numFmtId="0" fontId="79" fillId="0" borderId="0" xfId="0" applyFont="1" applyAlignment="1">
      <alignment horizontal="center" vertical="center" wrapText="1"/>
    </xf>
    <xf numFmtId="0" fontId="0" fillId="0" borderId="0" xfId="0" applyBorder="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172" fontId="36" fillId="0" borderId="0" xfId="42" applyNumberFormat="1" applyFont="1" applyFill="1" applyBorder="1" applyAlignment="1" applyProtection="1">
      <alignment horizontal="right" vertical="center" wrapText="1" indent="1"/>
      <protection/>
    </xf>
    <xf numFmtId="0" fontId="76" fillId="0" borderId="0" xfId="0" applyFont="1" applyAlignment="1">
      <alignment wrapText="1"/>
    </xf>
    <xf numFmtId="0" fontId="79" fillId="0" borderId="0" xfId="0" applyFont="1" applyAlignment="1">
      <alignment vertical="center" wrapText="1"/>
    </xf>
    <xf numFmtId="0" fontId="5" fillId="0" borderId="0" xfId="0" applyFont="1" applyAlignment="1">
      <alignment vertical="center" wrapText="1"/>
    </xf>
    <xf numFmtId="0" fontId="77" fillId="0" borderId="0" xfId="0" applyFont="1" applyAlignment="1">
      <alignment horizontal="center"/>
    </xf>
    <xf numFmtId="0" fontId="76" fillId="0" borderId="0" xfId="0" applyFont="1" applyAlignment="1">
      <alignment horizontal="center" wrapText="1"/>
    </xf>
    <xf numFmtId="0" fontId="77" fillId="0" borderId="0" xfId="0" applyFont="1" applyAlignment="1" applyProtection="1">
      <alignment/>
      <protection locked="0"/>
    </xf>
    <xf numFmtId="0" fontId="80" fillId="0" borderId="11" xfId="0" applyFont="1" applyBorder="1" applyAlignment="1" applyProtection="1">
      <alignment horizontal="center" vertical="center" wrapText="1"/>
      <protection locked="0"/>
    </xf>
    <xf numFmtId="0" fontId="77" fillId="0" borderId="11" xfId="0" applyFont="1" applyBorder="1" applyAlignment="1" applyProtection="1">
      <alignment horizontal="center"/>
      <protection locked="0"/>
    </xf>
    <xf numFmtId="0" fontId="77" fillId="0" borderId="11" xfId="0" applyFont="1" applyBorder="1" applyAlignment="1" applyProtection="1">
      <alignment horizontal="left" indent="1"/>
      <protection locked="0"/>
    </xf>
    <xf numFmtId="172" fontId="77" fillId="0" borderId="11" xfId="42" applyNumberFormat="1" applyFont="1" applyBorder="1" applyAlignment="1" applyProtection="1">
      <alignment horizontal="right" vertical="center" wrapText="1" indent="1"/>
      <protection/>
    </xf>
    <xf numFmtId="0" fontId="77" fillId="0" borderId="11" xfId="0" applyFont="1" applyBorder="1" applyAlignment="1" applyProtection="1">
      <alignment horizontal="center" vertical="center"/>
      <protection locked="0"/>
    </xf>
    <xf numFmtId="0" fontId="77" fillId="33" borderId="0" xfId="0" applyFont="1" applyFill="1" applyAlignment="1" applyProtection="1">
      <alignment/>
      <protection locked="0"/>
    </xf>
    <xf numFmtId="10" fontId="76" fillId="0" borderId="11" xfId="67" applyNumberFormat="1" applyFont="1" applyBorder="1" applyAlignment="1" applyProtection="1">
      <alignment horizontal="right" vertical="center" wrapText="1" indent="1"/>
      <protection/>
    </xf>
    <xf numFmtId="0" fontId="81" fillId="0" borderId="0" xfId="0" applyFont="1" applyAlignment="1" applyProtection="1">
      <alignment/>
      <protection locked="0"/>
    </xf>
    <xf numFmtId="0" fontId="0" fillId="0" borderId="11" xfId="0" applyFill="1" applyBorder="1" applyAlignment="1">
      <alignment horizontal="left" indent="1"/>
    </xf>
    <xf numFmtId="0" fontId="39" fillId="0" borderId="0" xfId="0" applyFont="1" applyFill="1" applyBorder="1" applyAlignment="1" applyProtection="1">
      <alignment/>
      <protection locked="0"/>
    </xf>
    <xf numFmtId="0" fontId="39" fillId="0" borderId="0" xfId="0" applyFont="1" applyFill="1" applyBorder="1" applyAlignment="1" applyProtection="1">
      <alignment horizontal="center"/>
      <protection locked="0"/>
    </xf>
    <xf numFmtId="0" fontId="39" fillId="0" borderId="0" xfId="0" applyFont="1" applyFill="1" applyBorder="1" applyAlignment="1" applyProtection="1">
      <alignment vertical="center"/>
      <protection locked="0"/>
    </xf>
    <xf numFmtId="0" fontId="40" fillId="0" borderId="12" xfId="0" applyFont="1" applyFill="1" applyBorder="1" applyAlignment="1" applyProtection="1">
      <alignment horizontal="center" vertical="center" wrapText="1"/>
      <protection locked="0"/>
    </xf>
    <xf numFmtId="0" fontId="39" fillId="0" borderId="13" xfId="0" applyFont="1" applyFill="1" applyBorder="1" applyAlignment="1" applyProtection="1">
      <alignment horizontal="center" vertical="center" wrapText="1"/>
      <protection locked="0"/>
    </xf>
    <xf numFmtId="0" fontId="39" fillId="0" borderId="11" xfId="0" applyFont="1" applyFill="1" applyBorder="1" applyAlignment="1" applyProtection="1">
      <alignment horizontal="left" vertical="center" wrapText="1" indent="3"/>
      <protection locked="0"/>
    </xf>
    <xf numFmtId="0" fontId="39" fillId="0" borderId="12" xfId="0" applyFont="1" applyFill="1" applyBorder="1" applyAlignment="1" applyProtection="1">
      <alignment vertical="center"/>
      <protection locked="0"/>
    </xf>
    <xf numFmtId="0" fontId="39" fillId="0" borderId="12" xfId="0" applyFont="1" applyFill="1" applyBorder="1" applyAlignment="1" applyProtection="1">
      <alignment vertical="center" wrapText="1"/>
      <protection locked="0"/>
    </xf>
    <xf numFmtId="0" fontId="39" fillId="0" borderId="12" xfId="0" applyFont="1" applyFill="1" applyBorder="1" applyAlignment="1" applyProtection="1">
      <alignment/>
      <protection locked="0"/>
    </xf>
    <xf numFmtId="0" fontId="39" fillId="0" borderId="13" xfId="0" applyFont="1" applyFill="1" applyBorder="1" applyAlignment="1" applyProtection="1">
      <alignment horizontal="center" vertical="center" wrapText="1"/>
      <protection locked="0"/>
    </xf>
    <xf numFmtId="0" fontId="39" fillId="0" borderId="11" xfId="0" applyFont="1" applyFill="1" applyBorder="1" applyAlignment="1" applyProtection="1">
      <alignment vertical="center" wrapText="1"/>
      <protection locked="0"/>
    </xf>
    <xf numFmtId="0" fontId="39" fillId="0" borderId="11" xfId="0" applyFont="1" applyFill="1" applyBorder="1" applyAlignment="1" applyProtection="1">
      <alignment/>
      <protection locked="0"/>
    </xf>
    <xf numFmtId="0" fontId="40" fillId="0" borderId="0" xfId="0" applyFont="1" applyFill="1" applyBorder="1" applyAlignment="1" applyProtection="1">
      <alignment horizontal="center"/>
      <protection/>
    </xf>
    <xf numFmtId="0" fontId="40" fillId="33" borderId="13" xfId="0" applyFont="1" applyFill="1" applyBorder="1" applyAlignment="1" applyProtection="1">
      <alignment horizontal="center" vertical="center" wrapText="1"/>
      <protection/>
    </xf>
    <xf numFmtId="0" fontId="40" fillId="33" borderId="11" xfId="0" applyFont="1" applyFill="1" applyBorder="1" applyAlignment="1" applyProtection="1" quotePrefix="1">
      <alignment horizontal="left" vertical="center" wrapText="1"/>
      <protection/>
    </xf>
    <xf numFmtId="0" fontId="39" fillId="0" borderId="13" xfId="0" applyFont="1" applyFill="1" applyBorder="1" applyAlignment="1" applyProtection="1">
      <alignment horizontal="center" vertical="center" wrapText="1"/>
      <protection/>
    </xf>
    <xf numFmtId="0" fontId="39" fillId="0" borderId="11" xfId="0" applyFont="1" applyFill="1" applyBorder="1" applyAlignment="1" applyProtection="1">
      <alignment horizontal="left" vertical="center" wrapText="1" indent="3"/>
      <protection/>
    </xf>
    <xf numFmtId="0" fontId="40" fillId="33" borderId="11" xfId="0" applyFont="1" applyFill="1" applyBorder="1" applyAlignment="1" applyProtection="1" quotePrefix="1">
      <alignment vertical="center" wrapText="1"/>
      <protection/>
    </xf>
    <xf numFmtId="0" fontId="82" fillId="0" borderId="0" xfId="0" applyFont="1" applyAlignment="1" applyProtection="1">
      <alignment horizontal="center"/>
      <protection locked="0"/>
    </xf>
    <xf numFmtId="0" fontId="77" fillId="0" borderId="0" xfId="0" applyFont="1" applyAlignment="1">
      <alignment horizontal="center"/>
    </xf>
    <xf numFmtId="0" fontId="80" fillId="0" borderId="0" xfId="0" applyFont="1" applyAlignment="1">
      <alignment wrapText="1"/>
    </xf>
    <xf numFmtId="0" fontId="76" fillId="0" borderId="0" xfId="0" applyFont="1" applyAlignment="1">
      <alignment horizontal="center" vertical="center" wrapText="1"/>
    </xf>
    <xf numFmtId="0" fontId="76" fillId="0" borderId="0" xfId="0" applyFont="1" applyAlignment="1" applyProtection="1">
      <alignment horizontal="center"/>
      <protection locked="0"/>
    </xf>
    <xf numFmtId="0" fontId="10" fillId="0" borderId="0" xfId="0" applyFont="1" applyFill="1" applyBorder="1" applyAlignment="1" applyProtection="1">
      <alignment horizontal="center" vertical="center"/>
      <protection locked="0"/>
    </xf>
    <xf numFmtId="172" fontId="10" fillId="0" borderId="0" xfId="42" applyNumberFormat="1" applyFont="1" applyFill="1" applyBorder="1" applyAlignment="1" applyProtection="1">
      <alignment horizontal="right" vertical="center" wrapText="1" indent="1"/>
      <protection/>
    </xf>
    <xf numFmtId="0" fontId="76" fillId="0" borderId="0" xfId="0" applyNumberFormat="1" applyFont="1" applyAlignment="1">
      <alignment vertical="center" wrapText="1"/>
    </xf>
    <xf numFmtId="0" fontId="77" fillId="0" borderId="0" xfId="0" applyNumberFormat="1" applyFont="1" applyAlignment="1">
      <alignment/>
    </xf>
    <xf numFmtId="0" fontId="3" fillId="0" borderId="0" xfId="0" applyNumberFormat="1" applyFont="1" applyAlignment="1">
      <alignment vertical="center" wrapText="1"/>
    </xf>
    <xf numFmtId="0" fontId="76" fillId="0" borderId="10" xfId="0" applyNumberFormat="1" applyFont="1" applyBorder="1" applyAlignment="1">
      <alignment vertical="center" wrapText="1"/>
    </xf>
    <xf numFmtId="0" fontId="76" fillId="0" borderId="0" xfId="0" applyFont="1" applyFill="1" applyAlignment="1">
      <alignment horizontal="center" vertical="center" wrapText="1"/>
    </xf>
    <xf numFmtId="0" fontId="76" fillId="0" borderId="10" xfId="0" applyFont="1" applyFill="1" applyBorder="1" applyAlignment="1">
      <alignment horizontal="center" vertical="center" wrapText="1"/>
    </xf>
    <xf numFmtId="0" fontId="77" fillId="0" borderId="0" xfId="0" applyFont="1" applyFill="1" applyAlignment="1">
      <alignment horizontal="center"/>
    </xf>
    <xf numFmtId="0" fontId="76" fillId="0" borderId="0" xfId="0" applyFont="1" applyAlignment="1">
      <alignment wrapText="1"/>
    </xf>
    <xf numFmtId="0" fontId="79" fillId="0" borderId="0" xfId="0" applyFont="1" applyAlignment="1">
      <alignment vertical="center" wrapText="1"/>
    </xf>
    <xf numFmtId="0" fontId="79" fillId="0" borderId="0" xfId="0" applyFont="1" applyAlignment="1">
      <alignment horizontal="center" vertical="center" wrapText="1"/>
    </xf>
    <xf numFmtId="0" fontId="79" fillId="0" borderId="0" xfId="0" applyFont="1" applyAlignment="1">
      <alignment horizontal="center" wrapText="1"/>
    </xf>
    <xf numFmtId="0" fontId="80" fillId="0" borderId="0" xfId="0" applyFont="1" applyAlignment="1">
      <alignment horizontal="center" vertical="center" wrapText="1"/>
    </xf>
    <xf numFmtId="0" fontId="80" fillId="0" borderId="0" xfId="0" applyFont="1" applyAlignment="1">
      <alignment horizontal="center" wrapText="1"/>
    </xf>
    <xf numFmtId="0" fontId="6" fillId="0" borderId="0" xfId="0" applyFont="1" applyAlignment="1">
      <alignment horizontal="center" wrapText="1"/>
    </xf>
    <xf numFmtId="0" fontId="77" fillId="0" borderId="0" xfId="0" applyFont="1" applyAlignment="1">
      <alignment horizontal="center"/>
    </xf>
    <xf numFmtId="0" fontId="77" fillId="0" borderId="0" xfId="0" applyFont="1" applyAlignment="1">
      <alignment/>
    </xf>
    <xf numFmtId="0" fontId="79" fillId="0" borderId="0" xfId="0" applyFont="1" applyAlignment="1">
      <alignment wrapText="1"/>
    </xf>
    <xf numFmtId="0" fontId="83" fillId="0" borderId="14" xfId="0" applyFont="1" applyBorder="1" applyAlignment="1">
      <alignment horizontal="center" vertical="center" wrapText="1"/>
    </xf>
    <xf numFmtId="49" fontId="83" fillId="0" borderId="11" xfId="0" applyNumberFormat="1" applyFont="1" applyBorder="1" applyAlignment="1">
      <alignment horizontal="center" vertical="center" wrapText="1"/>
    </xf>
    <xf numFmtId="0" fontId="84" fillId="0" borderId="11" xfId="0" applyNumberFormat="1" applyFont="1" applyBorder="1" applyAlignment="1">
      <alignment horizontal="center" vertical="center" wrapText="1"/>
    </xf>
    <xf numFmtId="0" fontId="84" fillId="0" borderId="11" xfId="0" applyFont="1" applyFill="1" applyBorder="1" applyAlignment="1">
      <alignment horizontal="center" vertical="center" wrapText="1"/>
    </xf>
    <xf numFmtId="0" fontId="85" fillId="0" borderId="11" xfId="0" applyFont="1" applyBorder="1" applyAlignment="1">
      <alignment horizontal="center" vertical="center" wrapText="1"/>
    </xf>
    <xf numFmtId="0" fontId="85" fillId="0" borderId="11" xfId="0" applyNumberFormat="1" applyFont="1" applyBorder="1" applyAlignment="1">
      <alignment horizontal="center" vertical="center" wrapText="1"/>
    </xf>
    <xf numFmtId="0" fontId="85" fillId="0" borderId="11" xfId="0" applyNumberFormat="1" applyFont="1" applyFill="1" applyBorder="1" applyAlignment="1">
      <alignment horizontal="center" vertical="center" wrapText="1"/>
    </xf>
    <xf numFmtId="0" fontId="85" fillId="0" borderId="11" xfId="0" applyNumberFormat="1" applyFont="1" applyBorder="1" applyAlignment="1">
      <alignment vertical="center" wrapText="1"/>
    </xf>
    <xf numFmtId="49" fontId="13" fillId="0" borderId="11" xfId="0" applyNumberFormat="1" applyFont="1" applyFill="1" applyBorder="1" applyAlignment="1">
      <alignment horizontal="center" vertical="center" wrapText="1"/>
    </xf>
    <xf numFmtId="14" fontId="13" fillId="0" borderId="11"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49" fontId="83" fillId="0" borderId="11"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83" fillId="0" borderId="11" xfId="0" applyNumberFormat="1" applyFont="1" applyFill="1" applyBorder="1" applyAlignment="1">
      <alignment horizontal="center" vertical="center" wrapText="1"/>
    </xf>
    <xf numFmtId="172" fontId="13" fillId="0" borderId="11" xfId="42" applyNumberFormat="1" applyFont="1" applyFill="1" applyBorder="1" applyAlignment="1">
      <alignment horizontal="center" vertical="center" wrapText="1"/>
    </xf>
    <xf numFmtId="49" fontId="85" fillId="0" borderId="11"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172" fontId="13" fillId="0" borderId="11" xfId="42" applyNumberFormat="1" applyFont="1" applyBorder="1" applyAlignment="1">
      <alignment horizontal="center" vertical="center" wrapText="1"/>
    </xf>
    <xf numFmtId="0" fontId="84" fillId="0" borderId="11" xfId="0" applyFont="1" applyBorder="1" applyAlignment="1">
      <alignment horizontal="center" vertical="center" wrapText="1"/>
    </xf>
    <xf numFmtId="0" fontId="77" fillId="0" borderId="0" xfId="0" applyFont="1" applyAlignment="1">
      <alignment horizontal="center" vertical="center"/>
    </xf>
    <xf numFmtId="14" fontId="83" fillId="0" borderId="11" xfId="0" applyNumberFormat="1" applyFont="1" applyBorder="1" applyAlignment="1">
      <alignment horizontal="center" vertical="center" wrapText="1"/>
    </xf>
    <xf numFmtId="0" fontId="83" fillId="0" borderId="11" xfId="0" applyFont="1" applyBorder="1" applyAlignment="1">
      <alignment horizontal="center" vertical="center" wrapText="1"/>
    </xf>
    <xf numFmtId="0" fontId="77" fillId="0" borderId="0" xfId="0" applyNumberFormat="1" applyFont="1" applyBorder="1" applyAlignment="1">
      <alignment horizontal="center"/>
    </xf>
    <xf numFmtId="0" fontId="77" fillId="0" borderId="0" xfId="0" applyNumberFormat="1" applyFont="1" applyAlignment="1">
      <alignment horizontal="center"/>
    </xf>
    <xf numFmtId="0" fontId="79" fillId="0" borderId="0" xfId="0" applyNumberFormat="1" applyFont="1" applyAlignment="1">
      <alignment horizontal="center" vertical="center" wrapText="1"/>
    </xf>
    <xf numFmtId="0" fontId="86" fillId="0" borderId="0" xfId="0" applyNumberFormat="1" applyFont="1" applyAlignment="1">
      <alignment horizontal="center"/>
    </xf>
    <xf numFmtId="14" fontId="13" fillId="0" borderId="11" xfId="0" applyNumberFormat="1" applyFont="1" applyBorder="1" applyAlignment="1">
      <alignment horizontal="center" vertical="center" wrapText="1"/>
    </xf>
    <xf numFmtId="0" fontId="83" fillId="0" borderId="0" xfId="0" applyFont="1" applyAlignment="1">
      <alignment wrapText="1"/>
    </xf>
    <xf numFmtId="172" fontId="13" fillId="0" borderId="11" xfId="47" applyNumberFormat="1" applyFont="1" applyFill="1" applyBorder="1" applyAlignment="1">
      <alignment horizontal="center" vertical="center" wrapText="1"/>
    </xf>
    <xf numFmtId="49" fontId="13" fillId="0" borderId="11" xfId="0" applyNumberFormat="1" applyFont="1" applyBorder="1" applyAlignment="1" quotePrefix="1">
      <alignment horizontal="center" vertical="center" wrapText="1"/>
    </xf>
    <xf numFmtId="0" fontId="80" fillId="36" borderId="0" xfId="0" applyFont="1" applyFill="1" applyAlignment="1">
      <alignment wrapText="1"/>
    </xf>
    <xf numFmtId="1" fontId="83" fillId="0" borderId="11" xfId="0" applyNumberFormat="1" applyFont="1" applyBorder="1" applyAlignment="1" quotePrefix="1">
      <alignment horizontal="center" vertical="center" wrapText="1"/>
    </xf>
    <xf numFmtId="0" fontId="84" fillId="37" borderId="14" xfId="0" applyFont="1" applyFill="1" applyBorder="1" applyAlignment="1">
      <alignment horizontal="center" vertical="center" wrapText="1"/>
    </xf>
    <xf numFmtId="0" fontId="84" fillId="37" borderId="11" xfId="0" applyNumberFormat="1" applyFont="1" applyFill="1" applyBorder="1" applyAlignment="1">
      <alignment horizontal="center" vertical="center" wrapText="1"/>
    </xf>
    <xf numFmtId="172" fontId="84" fillId="37" borderId="11" xfId="0" applyNumberFormat="1" applyFont="1" applyFill="1" applyBorder="1" applyAlignment="1">
      <alignment horizontal="center" vertical="center" wrapText="1"/>
    </xf>
    <xf numFmtId="0" fontId="87" fillId="37" borderId="14" xfId="0" applyFont="1" applyFill="1" applyBorder="1" applyAlignment="1">
      <alignment horizontal="center" vertical="center" wrapText="1"/>
    </xf>
    <xf numFmtId="14" fontId="84" fillId="37" borderId="11" xfId="0" applyNumberFormat="1" applyFont="1" applyFill="1" applyBorder="1" applyAlignment="1">
      <alignment horizontal="center" vertical="center" wrapText="1"/>
    </xf>
    <xf numFmtId="49" fontId="84" fillId="37" borderId="11" xfId="0" applyNumberFormat="1" applyFont="1" applyFill="1" applyBorder="1" applyAlignment="1">
      <alignment horizontal="center" vertical="center" wrapText="1"/>
    </xf>
    <xf numFmtId="172" fontId="84" fillId="37" borderId="11" xfId="42" applyNumberFormat="1" applyFont="1" applyFill="1" applyBorder="1" applyAlignment="1">
      <alignment vertical="center" wrapText="1"/>
    </xf>
    <xf numFmtId="0" fontId="84" fillId="37" borderId="11" xfId="0" applyNumberFormat="1" applyFont="1" applyFill="1" applyBorder="1" applyAlignment="1">
      <alignment horizontal="left" vertical="center" wrapText="1"/>
    </xf>
    <xf numFmtId="0" fontId="80" fillId="37" borderId="0" xfId="0" applyFont="1" applyFill="1" applyAlignment="1">
      <alignment wrapText="1"/>
    </xf>
    <xf numFmtId="0" fontId="87" fillId="37" borderId="11" xfId="0" applyNumberFormat="1" applyFont="1" applyFill="1" applyBorder="1" applyAlignment="1">
      <alignment horizontal="center" vertical="center" wrapText="1"/>
    </xf>
    <xf numFmtId="14" fontId="87" fillId="37" borderId="11" xfId="0" applyNumberFormat="1" applyFont="1" applyFill="1" applyBorder="1" applyAlignment="1">
      <alignment horizontal="center" vertical="center" wrapText="1"/>
    </xf>
    <xf numFmtId="0" fontId="87" fillId="37" borderId="11" xfId="0" applyFont="1" applyFill="1" applyBorder="1" applyAlignment="1">
      <alignment horizontal="center" vertical="center" wrapText="1"/>
    </xf>
    <xf numFmtId="0" fontId="87" fillId="37" borderId="11" xfId="0" applyNumberFormat="1" applyFont="1" applyFill="1" applyBorder="1" applyAlignment="1">
      <alignment horizontal="left" vertical="center" wrapText="1"/>
    </xf>
    <xf numFmtId="0" fontId="84" fillId="37" borderId="11" xfId="0" applyFont="1" applyFill="1" applyBorder="1" applyAlignment="1">
      <alignment horizontal="center" vertical="center" wrapText="1"/>
    </xf>
    <xf numFmtId="0" fontId="83" fillId="37" borderId="0" xfId="0" applyFont="1" applyFill="1" applyAlignment="1">
      <alignment wrapText="1"/>
    </xf>
    <xf numFmtId="49" fontId="84" fillId="37" borderId="13" xfId="0" applyNumberFormat="1" applyFont="1" applyFill="1" applyBorder="1" applyAlignment="1">
      <alignment horizontal="center" vertical="center" wrapText="1"/>
    </xf>
    <xf numFmtId="172" fontId="84" fillId="37" borderId="11" xfId="42" applyNumberFormat="1" applyFont="1" applyFill="1" applyBorder="1" applyAlignment="1">
      <alignment horizontal="center" vertical="center" wrapText="1"/>
    </xf>
    <xf numFmtId="172" fontId="87" fillId="37" borderId="11" xfId="42" applyNumberFormat="1" applyFont="1" applyFill="1" applyBorder="1" applyAlignment="1">
      <alignment horizontal="left" vertical="center" wrapText="1"/>
    </xf>
    <xf numFmtId="172" fontId="87" fillId="37" borderId="11" xfId="42" applyNumberFormat="1" applyFont="1" applyFill="1" applyBorder="1" applyAlignment="1">
      <alignment horizontal="center" vertical="center" wrapText="1"/>
    </xf>
    <xf numFmtId="0" fontId="77" fillId="0" borderId="0" xfId="0" applyFont="1" applyAlignment="1">
      <alignment horizontal="center"/>
    </xf>
    <xf numFmtId="0" fontId="76" fillId="0" borderId="0" xfId="0" applyFont="1" applyAlignment="1">
      <alignment horizontal="center" vertical="center" wrapText="1"/>
    </xf>
    <xf numFmtId="49" fontId="87" fillId="0" borderId="11" xfId="0" applyNumberFormat="1" applyFont="1" applyFill="1" applyBorder="1" applyAlignment="1">
      <alignment horizontal="center" vertical="center" wrapText="1"/>
    </xf>
    <xf numFmtId="49" fontId="87" fillId="38" borderId="11" xfId="0" applyNumberFormat="1" applyFont="1" applyFill="1" applyBorder="1" applyAlignment="1">
      <alignment horizontal="center" vertical="center" wrapText="1"/>
    </xf>
    <xf numFmtId="14" fontId="88" fillId="38" borderId="11" xfId="0" applyNumberFormat="1" applyFont="1" applyFill="1" applyBorder="1" applyAlignment="1">
      <alignment horizontal="center" vertical="center" wrapText="1"/>
    </xf>
    <xf numFmtId="49" fontId="88" fillId="38" borderId="11" xfId="0" applyNumberFormat="1" applyFont="1" applyFill="1" applyBorder="1" applyAlignment="1">
      <alignment horizontal="center" vertical="center" wrapText="1"/>
    </xf>
    <xf numFmtId="0" fontId="88" fillId="38" borderId="11" xfId="0" applyFont="1" applyFill="1" applyBorder="1" applyAlignment="1">
      <alignment horizontal="center" vertical="center" wrapText="1"/>
    </xf>
    <xf numFmtId="172" fontId="88" fillId="38" borderId="11" xfId="47" applyNumberFormat="1" applyFont="1" applyFill="1" applyBorder="1" applyAlignment="1">
      <alignment horizontal="center" vertical="center"/>
    </xf>
    <xf numFmtId="172" fontId="88" fillId="38" borderId="11" xfId="47" applyNumberFormat="1" applyFont="1" applyFill="1" applyBorder="1" applyAlignment="1">
      <alignment horizontal="center" vertical="center" wrapText="1"/>
    </xf>
    <xf numFmtId="0" fontId="88" fillId="38" borderId="11" xfId="0" applyNumberFormat="1" applyFont="1" applyFill="1" applyBorder="1" applyAlignment="1">
      <alignment horizontal="center" vertical="center" wrapText="1"/>
    </xf>
    <xf numFmtId="0" fontId="12" fillId="0" borderId="11" xfId="0" applyNumberFormat="1" applyFont="1" applyBorder="1" applyAlignment="1">
      <alignment horizontal="center" vertical="center" wrapText="1"/>
    </xf>
    <xf numFmtId="0" fontId="12" fillId="0" borderId="11" xfId="0" applyNumberFormat="1" applyFont="1" applyFill="1" applyBorder="1" applyAlignment="1">
      <alignment horizontal="center" vertical="center" wrapText="1"/>
    </xf>
    <xf numFmtId="0" fontId="13" fillId="0" borderId="0" xfId="0" applyFont="1" applyFill="1" applyAlignment="1">
      <alignment wrapText="1"/>
    </xf>
    <xf numFmtId="49" fontId="87" fillId="37" borderId="11" xfId="0" applyNumberFormat="1" applyFont="1" applyFill="1" applyBorder="1" applyAlignment="1">
      <alignment horizontal="center" vertical="center" wrapText="1"/>
    </xf>
    <xf numFmtId="0" fontId="87" fillId="38" borderId="14" xfId="0" applyFont="1" applyFill="1" applyBorder="1" applyAlignment="1">
      <alignment horizontal="center" vertical="center" wrapText="1"/>
    </xf>
    <xf numFmtId="14" fontId="87" fillId="38" borderId="11" xfId="0" applyNumberFormat="1" applyFont="1" applyFill="1" applyBorder="1" applyAlignment="1">
      <alignment horizontal="center" vertical="center" wrapText="1"/>
    </xf>
    <xf numFmtId="0" fontId="87" fillId="38" borderId="11" xfId="0" applyFont="1" applyFill="1" applyBorder="1" applyAlignment="1">
      <alignment horizontal="center" vertical="center" wrapText="1"/>
    </xf>
    <xf numFmtId="172" fontId="87" fillId="38" borderId="11" xfId="47" applyNumberFormat="1" applyFont="1" applyFill="1" applyBorder="1" applyAlignment="1">
      <alignment horizontal="center" vertical="center"/>
    </xf>
    <xf numFmtId="172" fontId="87" fillId="38" borderId="11" xfId="47" applyNumberFormat="1" applyFont="1" applyFill="1" applyBorder="1" applyAlignment="1">
      <alignment horizontal="center" vertical="center" wrapText="1"/>
    </xf>
    <xf numFmtId="0" fontId="87" fillId="38" borderId="11" xfId="0" applyNumberFormat="1" applyFont="1" applyFill="1" applyBorder="1" applyAlignment="1">
      <alignment horizontal="center" vertical="center" wrapText="1"/>
    </xf>
    <xf numFmtId="0" fontId="83" fillId="0" borderId="11" xfId="0" applyNumberFormat="1" applyFont="1" applyBorder="1" applyAlignment="1">
      <alignment horizontal="center" vertical="center" wrapText="1"/>
    </xf>
    <xf numFmtId="0" fontId="13" fillId="0" borderId="11" xfId="0" applyNumberFormat="1" applyFont="1" applyBorder="1" applyAlignment="1" quotePrefix="1">
      <alignment horizontal="center" vertical="center" wrapText="1"/>
    </xf>
    <xf numFmtId="0" fontId="6" fillId="0" borderId="0" xfId="0" applyFont="1" applyFill="1" applyAlignment="1">
      <alignment horizontal="center" vertical="center" wrapText="1"/>
    </xf>
    <xf numFmtId="14" fontId="12" fillId="0" borderId="11" xfId="0" applyNumberFormat="1" applyFont="1" applyBorder="1" applyAlignment="1">
      <alignment horizontal="center" vertical="center" wrapText="1"/>
    </xf>
    <xf numFmtId="41" fontId="12" fillId="0" borderId="11" xfId="0" applyNumberFormat="1"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NumberFormat="1" applyFont="1" applyBorder="1" applyAlignment="1" quotePrefix="1">
      <alignment horizontal="center" vertical="center" wrapText="1"/>
    </xf>
    <xf numFmtId="172" fontId="12" fillId="0" borderId="11" xfId="42" applyNumberFormat="1" applyFont="1" applyFill="1" applyBorder="1" applyAlignment="1">
      <alignment horizontal="center" vertical="center" wrapText="1"/>
    </xf>
    <xf numFmtId="0" fontId="87" fillId="38" borderId="11" xfId="42" applyNumberFormat="1" applyFont="1" applyFill="1" applyBorder="1" applyAlignment="1">
      <alignment horizontal="center" vertical="center"/>
    </xf>
    <xf numFmtId="14" fontId="87" fillId="38" borderId="11" xfId="42" applyNumberFormat="1" applyFont="1" applyFill="1" applyBorder="1" applyAlignment="1">
      <alignment horizontal="center" vertical="center"/>
    </xf>
    <xf numFmtId="14" fontId="87" fillId="38" borderId="11" xfId="0" applyNumberFormat="1" applyFont="1" applyFill="1" applyBorder="1" applyAlignment="1">
      <alignment horizontal="center" vertical="center"/>
    </xf>
    <xf numFmtId="0" fontId="87" fillId="38" borderId="11" xfId="0" applyFont="1" applyFill="1" applyBorder="1" applyAlignment="1">
      <alignment horizontal="center" vertical="center"/>
    </xf>
    <xf numFmtId="172" fontId="87" fillId="38" borderId="11" xfId="42" applyNumberFormat="1" applyFont="1" applyFill="1" applyBorder="1" applyAlignment="1">
      <alignment horizontal="center" vertical="center" wrapText="1"/>
    </xf>
    <xf numFmtId="0" fontId="77" fillId="0" borderId="0" xfId="0" applyFont="1" applyAlignment="1">
      <alignment horizontal="center"/>
    </xf>
    <xf numFmtId="0" fontId="84" fillId="0" borderId="11" xfId="0" applyFont="1" applyBorder="1" applyAlignment="1">
      <alignment horizontal="center" vertical="center" wrapText="1"/>
    </xf>
    <xf numFmtId="0" fontId="76" fillId="0" borderId="0" xfId="0" applyFont="1" applyAlignment="1">
      <alignment horizontal="center" vertical="center" wrapText="1"/>
    </xf>
    <xf numFmtId="49" fontId="87" fillId="37" borderId="11" xfId="0" applyNumberFormat="1" applyFont="1" applyFill="1" applyBorder="1" applyAlignment="1">
      <alignment horizontal="center" vertical="center" wrapText="1"/>
    </xf>
    <xf numFmtId="172" fontId="77" fillId="0" borderId="0" xfId="0" applyNumberFormat="1" applyFont="1" applyAlignment="1" applyProtection="1">
      <alignment/>
      <protection locked="0"/>
    </xf>
    <xf numFmtId="0" fontId="84" fillId="39" borderId="14" xfId="0" applyFont="1" applyFill="1" applyBorder="1" applyAlignment="1">
      <alignment horizontal="center" vertical="center" wrapText="1"/>
    </xf>
    <xf numFmtId="0" fontId="84" fillId="39" borderId="11" xfId="0" applyNumberFormat="1" applyFont="1" applyFill="1" applyBorder="1" applyAlignment="1">
      <alignment horizontal="center" vertical="center" wrapText="1"/>
    </xf>
    <xf numFmtId="172" fontId="84" fillId="39" borderId="11" xfId="0" applyNumberFormat="1" applyFont="1" applyFill="1" applyBorder="1" applyAlignment="1">
      <alignment horizontal="center" vertical="center" wrapText="1"/>
    </xf>
    <xf numFmtId="172" fontId="84" fillId="39" borderId="11" xfId="0" applyNumberFormat="1" applyFont="1" applyFill="1" applyBorder="1" applyAlignment="1">
      <alignment vertical="center" wrapText="1"/>
    </xf>
    <xf numFmtId="0" fontId="77" fillId="39" borderId="0" xfId="0" applyFont="1" applyFill="1" applyAlignment="1">
      <alignment wrapText="1"/>
    </xf>
    <xf numFmtId="0" fontId="87" fillId="39" borderId="14" xfId="0" applyFont="1" applyFill="1" applyBorder="1" applyAlignment="1">
      <alignment horizontal="center" vertical="center" wrapText="1"/>
    </xf>
    <xf numFmtId="14" fontId="84" fillId="39" borderId="11" xfId="0" applyNumberFormat="1" applyFont="1" applyFill="1" applyBorder="1" applyAlignment="1">
      <alignment horizontal="center" vertical="center" wrapText="1"/>
    </xf>
    <xf numFmtId="49" fontId="84" fillId="39" borderId="11" xfId="0" applyNumberFormat="1" applyFont="1" applyFill="1" applyBorder="1" applyAlignment="1">
      <alignment horizontal="center" vertical="center" wrapText="1"/>
    </xf>
    <xf numFmtId="172" fontId="84" fillId="39" borderId="11" xfId="42" applyNumberFormat="1" applyFont="1" applyFill="1" applyBorder="1" applyAlignment="1">
      <alignment vertical="center" wrapText="1"/>
    </xf>
    <xf numFmtId="0" fontId="84" fillId="39" borderId="11" xfId="0" applyNumberFormat="1" applyFont="1" applyFill="1" applyBorder="1" applyAlignment="1">
      <alignment horizontal="left" vertical="center" wrapText="1"/>
    </xf>
    <xf numFmtId="0" fontId="80" fillId="39" borderId="0" xfId="0" applyFont="1" applyFill="1" applyAlignment="1">
      <alignment wrapText="1"/>
    </xf>
    <xf numFmtId="172" fontId="13" fillId="39" borderId="11" xfId="42" applyNumberFormat="1" applyFont="1" applyFill="1" applyBorder="1" applyAlignment="1">
      <alignment vertical="center" wrapText="1"/>
    </xf>
    <xf numFmtId="172" fontId="87" fillId="39" borderId="11" xfId="42" applyNumberFormat="1" applyFont="1" applyFill="1" applyBorder="1" applyAlignment="1">
      <alignment vertical="center" wrapText="1"/>
    </xf>
    <xf numFmtId="172" fontId="88" fillId="39" borderId="11" xfId="42" applyNumberFormat="1" applyFont="1" applyFill="1" applyBorder="1" applyAlignment="1">
      <alignment vertical="center" wrapText="1"/>
    </xf>
    <xf numFmtId="172" fontId="14" fillId="39" borderId="11" xfId="42" applyNumberFormat="1" applyFont="1" applyFill="1" applyBorder="1" applyAlignment="1">
      <alignment vertical="center" wrapText="1"/>
    </xf>
    <xf numFmtId="0" fontId="13" fillId="39" borderId="11" xfId="0" applyNumberFormat="1" applyFont="1" applyFill="1" applyBorder="1" applyAlignment="1">
      <alignment horizontal="center" vertical="center" wrapText="1"/>
    </xf>
    <xf numFmtId="14" fontId="13" fillId="39" borderId="11" xfId="0" applyNumberFormat="1" applyFont="1" applyFill="1" applyBorder="1" applyAlignment="1">
      <alignment horizontal="center" vertical="center" wrapText="1"/>
    </xf>
    <xf numFmtId="0" fontId="13" fillId="39" borderId="11" xfId="0" applyFont="1" applyFill="1" applyBorder="1" applyAlignment="1">
      <alignment horizontal="center" vertical="center" wrapText="1"/>
    </xf>
    <xf numFmtId="49" fontId="13" fillId="39" borderId="11" xfId="0" applyNumberFormat="1" applyFont="1" applyFill="1" applyBorder="1" applyAlignment="1">
      <alignment horizontal="center" vertical="center" wrapText="1"/>
    </xf>
    <xf numFmtId="0" fontId="83" fillId="39" borderId="11" xfId="0" applyNumberFormat="1" applyFont="1" applyFill="1" applyBorder="1" applyAlignment="1">
      <alignment horizontal="left" vertical="center" wrapText="1"/>
    </xf>
    <xf numFmtId="49" fontId="83" fillId="39" borderId="11" xfId="0" applyNumberFormat="1" applyFont="1" applyFill="1" applyBorder="1" applyAlignment="1">
      <alignment horizontal="center" vertical="center" wrapText="1"/>
    </xf>
    <xf numFmtId="0" fontId="87" fillId="39" borderId="11" xfId="0" applyNumberFormat="1" applyFont="1" applyFill="1" applyBorder="1" applyAlignment="1">
      <alignment horizontal="center" vertical="center" wrapText="1"/>
    </xf>
    <xf numFmtId="14" fontId="87" fillId="39" borderId="11" xfId="0" applyNumberFormat="1" applyFont="1" applyFill="1" applyBorder="1" applyAlignment="1">
      <alignment horizontal="center" vertical="center" wrapText="1"/>
    </xf>
    <xf numFmtId="0" fontId="87" fillId="39" borderId="11" xfId="0" applyFont="1" applyFill="1" applyBorder="1" applyAlignment="1">
      <alignment horizontal="center" vertical="center" wrapText="1"/>
    </xf>
    <xf numFmtId="0" fontId="87" fillId="39" borderId="11" xfId="0" applyNumberFormat="1" applyFont="1" applyFill="1" applyBorder="1" applyAlignment="1">
      <alignment horizontal="left" vertical="center" wrapText="1"/>
    </xf>
    <xf numFmtId="0" fontId="88" fillId="39" borderId="11" xfId="0" applyNumberFormat="1" applyFont="1" applyFill="1" applyBorder="1" applyAlignment="1">
      <alignment horizontal="center" vertical="center" wrapText="1"/>
    </xf>
    <xf numFmtId="14" fontId="88" fillId="39" borderId="11" xfId="0" applyNumberFormat="1" applyFont="1" applyFill="1" applyBorder="1" applyAlignment="1">
      <alignment horizontal="center" vertical="center" wrapText="1"/>
    </xf>
    <xf numFmtId="49" fontId="88" fillId="39" borderId="11" xfId="0" applyNumberFormat="1" applyFont="1" applyFill="1" applyBorder="1" applyAlignment="1">
      <alignment horizontal="center" vertical="center" wrapText="1"/>
    </xf>
    <xf numFmtId="172" fontId="88" fillId="39" borderId="11" xfId="42" applyNumberFormat="1" applyFont="1" applyFill="1" applyBorder="1" applyAlignment="1">
      <alignment horizontal="center" vertical="center" wrapText="1"/>
    </xf>
    <xf numFmtId="0" fontId="88" fillId="39" borderId="11" xfId="0" applyNumberFormat="1" applyFont="1" applyFill="1" applyBorder="1" applyAlignment="1">
      <alignment horizontal="left" vertical="center" wrapText="1"/>
    </xf>
    <xf numFmtId="0" fontId="14" fillId="39" borderId="11" xfId="0" applyNumberFormat="1" applyFont="1" applyFill="1" applyBorder="1" applyAlignment="1">
      <alignment horizontal="center" vertical="center" wrapText="1"/>
    </xf>
    <xf numFmtId="14" fontId="14" fillId="39" borderId="11" xfId="0" applyNumberFormat="1" applyFont="1" applyFill="1" applyBorder="1" applyAlignment="1">
      <alignment horizontal="center" vertical="center" wrapText="1"/>
    </xf>
    <xf numFmtId="0" fontId="14" fillId="39" borderId="11" xfId="0" applyFont="1" applyFill="1" applyBorder="1" applyAlignment="1">
      <alignment horizontal="center" vertical="center" wrapText="1"/>
    </xf>
    <xf numFmtId="49" fontId="14" fillId="39" borderId="11" xfId="0" applyNumberFormat="1" applyFont="1" applyFill="1" applyBorder="1" applyAlignment="1">
      <alignment horizontal="center" vertical="center" wrapText="1"/>
    </xf>
    <xf numFmtId="0" fontId="76" fillId="39" borderId="11" xfId="0" applyFont="1" applyFill="1" applyBorder="1" applyAlignment="1" applyProtection="1">
      <alignment horizontal="center" vertical="center"/>
      <protection locked="0"/>
    </xf>
    <xf numFmtId="0" fontId="76" fillId="39" borderId="11" xfId="0" applyFont="1" applyFill="1" applyBorder="1" applyAlignment="1" applyProtection="1">
      <alignment horizontal="left" vertical="center"/>
      <protection locked="0"/>
    </xf>
    <xf numFmtId="172" fontId="76" fillId="39" borderId="11" xfId="0" applyNumberFormat="1" applyFont="1" applyFill="1" applyBorder="1" applyAlignment="1" applyProtection="1">
      <alignment horizontal="center" vertical="center"/>
      <protection locked="0"/>
    </xf>
    <xf numFmtId="0" fontId="76" fillId="39" borderId="11" xfId="0" applyFont="1" applyFill="1" applyBorder="1" applyAlignment="1" applyProtection="1">
      <alignment horizontal="center"/>
      <protection locked="0"/>
    </xf>
    <xf numFmtId="172" fontId="77" fillId="39" borderId="11" xfId="42" applyNumberFormat="1" applyFont="1" applyFill="1" applyBorder="1" applyAlignment="1" applyProtection="1">
      <alignment horizontal="right" vertical="center" wrapText="1" indent="1"/>
      <protection/>
    </xf>
    <xf numFmtId="0" fontId="76" fillId="37" borderId="11" xfId="0" applyFont="1" applyFill="1" applyBorder="1" applyAlignment="1" applyProtection="1">
      <alignment horizontal="center" vertical="center"/>
      <protection locked="0"/>
    </xf>
    <xf numFmtId="172" fontId="89" fillId="37" borderId="11" xfId="42" applyNumberFormat="1" applyFont="1" applyFill="1" applyBorder="1" applyAlignment="1" applyProtection="1">
      <alignment horizontal="right" vertical="center" wrapText="1" indent="1"/>
      <protection/>
    </xf>
    <xf numFmtId="172" fontId="13" fillId="0" borderId="0" xfId="47" applyNumberFormat="1" applyFont="1" applyFill="1" applyBorder="1" applyAlignment="1">
      <alignment horizontal="center" vertical="center"/>
    </xf>
    <xf numFmtId="14" fontId="88" fillId="37" borderId="11" xfId="0" applyNumberFormat="1" applyFont="1" applyFill="1" applyBorder="1" applyAlignment="1">
      <alignment horizontal="center" vertical="center" wrapText="1"/>
    </xf>
    <xf numFmtId="41" fontId="88" fillId="37" borderId="11" xfId="0" applyNumberFormat="1" applyFont="1" applyFill="1" applyBorder="1" applyAlignment="1">
      <alignment horizontal="center" vertical="center" wrapText="1"/>
    </xf>
    <xf numFmtId="0" fontId="88" fillId="37" borderId="11" xfId="0" applyFont="1" applyFill="1" applyBorder="1" applyAlignment="1">
      <alignment horizontal="center" vertical="center" wrapText="1"/>
    </xf>
    <xf numFmtId="0" fontId="88" fillId="37" borderId="11" xfId="0" applyNumberFormat="1" applyFont="1" applyFill="1" applyBorder="1" applyAlignment="1">
      <alignment horizontal="center" vertical="center" wrapText="1"/>
    </xf>
    <xf numFmtId="172" fontId="88" fillId="37" borderId="11" xfId="42" applyNumberFormat="1" applyFont="1" applyFill="1" applyBorder="1" applyAlignment="1">
      <alignment horizontal="center" vertical="center" wrapText="1"/>
    </xf>
    <xf numFmtId="49" fontId="88" fillId="37" borderId="11" xfId="0" applyNumberFormat="1" applyFont="1" applyFill="1" applyBorder="1" applyAlignment="1">
      <alignment horizontal="center" vertical="center" wrapText="1"/>
    </xf>
    <xf numFmtId="0" fontId="87" fillId="37" borderId="11" xfId="0" applyNumberFormat="1" applyFont="1" applyFill="1" applyBorder="1" applyAlignment="1" quotePrefix="1">
      <alignment horizontal="center" vertical="center" wrapText="1"/>
    </xf>
    <xf numFmtId="49" fontId="88" fillId="37" borderId="11" xfId="0" applyNumberFormat="1" applyFont="1" applyFill="1" applyBorder="1" applyAlignment="1" quotePrefix="1">
      <alignment horizontal="center" vertical="center" wrapText="1"/>
    </xf>
    <xf numFmtId="49" fontId="87" fillId="37" borderId="11" xfId="0" applyNumberFormat="1" applyFont="1" applyFill="1" applyBorder="1" applyAlignment="1" quotePrefix="1">
      <alignment horizontal="center" vertical="center" wrapText="1"/>
    </xf>
    <xf numFmtId="172" fontId="13" fillId="0" borderId="11" xfId="42" applyNumberFormat="1" applyFont="1" applyFill="1" applyBorder="1" applyAlignment="1">
      <alignment vertical="center" wrapText="1"/>
    </xf>
    <xf numFmtId="0" fontId="83" fillId="0" borderId="14" xfId="0" applyFont="1" applyFill="1" applyBorder="1" applyAlignment="1">
      <alignment horizontal="center" vertical="center" wrapText="1"/>
    </xf>
    <xf numFmtId="0" fontId="13" fillId="0" borderId="11" xfId="0" applyNumberFormat="1" applyFont="1" applyFill="1" applyBorder="1" applyAlignment="1" quotePrefix="1">
      <alignment horizontal="center" vertical="center" wrapText="1"/>
    </xf>
    <xf numFmtId="41" fontId="13" fillId="0" borderId="11" xfId="42" applyNumberFormat="1" applyFont="1" applyFill="1" applyBorder="1" applyAlignment="1">
      <alignment horizontal="center" vertical="center" wrapText="1"/>
    </xf>
    <xf numFmtId="41" fontId="13" fillId="0" borderId="11" xfId="0" applyNumberFormat="1" applyFont="1" applyFill="1" applyBorder="1" applyAlignment="1">
      <alignment horizontal="center" vertical="center" wrapText="1"/>
    </xf>
    <xf numFmtId="0" fontId="83" fillId="0" borderId="11" xfId="0" applyFont="1" applyFill="1" applyBorder="1" applyAlignment="1">
      <alignment horizontal="center" vertical="center" wrapText="1"/>
    </xf>
    <xf numFmtId="0" fontId="83" fillId="0" borderId="11" xfId="0" applyFont="1" applyFill="1" applyBorder="1" applyAlignment="1">
      <alignment vertical="center" wrapText="1"/>
    </xf>
    <xf numFmtId="0" fontId="83" fillId="0" borderId="11" xfId="0" applyNumberFormat="1" applyFont="1" applyFill="1" applyBorder="1" applyAlignment="1">
      <alignment horizontal="left" vertical="center" wrapText="1"/>
    </xf>
    <xf numFmtId="0" fontId="77" fillId="0" borderId="0" xfId="0" applyFont="1" applyAlignment="1">
      <alignment horizontal="center"/>
    </xf>
    <xf numFmtId="0" fontId="84" fillId="0" borderId="11" xfId="0" applyFont="1" applyBorder="1" applyAlignment="1">
      <alignment horizontal="center" vertical="center" wrapText="1"/>
    </xf>
    <xf numFmtId="172" fontId="13" fillId="0" borderId="11" xfId="45" applyNumberFormat="1" applyFont="1" applyFill="1" applyBorder="1" applyAlignment="1">
      <alignment horizontal="center" vertical="center" wrapText="1"/>
    </xf>
    <xf numFmtId="0" fontId="77" fillId="0" borderId="0" xfId="0" applyFont="1" applyAlignment="1">
      <alignment horizontal="center"/>
    </xf>
    <xf numFmtId="49" fontId="87" fillId="39" borderId="11" xfId="0" applyNumberFormat="1" applyFont="1" applyFill="1" applyBorder="1" applyAlignment="1">
      <alignment horizontal="center" vertical="center" wrapText="1"/>
    </xf>
    <xf numFmtId="0" fontId="88" fillId="39" borderId="11" xfId="0" applyFont="1" applyFill="1" applyBorder="1" applyAlignment="1">
      <alignment horizontal="center" vertical="center" wrapText="1"/>
    </xf>
    <xf numFmtId="49" fontId="13"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172" fontId="13" fillId="0" borderId="11" xfId="46" applyNumberFormat="1" applyFont="1" applyFill="1" applyBorder="1" applyAlignment="1">
      <alignment horizontal="center" vertical="center" wrapText="1"/>
    </xf>
    <xf numFmtId="0" fontId="13" fillId="0" borderId="11" xfId="0" applyFont="1" applyBorder="1" applyAlignment="1">
      <alignment horizontal="center" vertical="center"/>
    </xf>
    <xf numFmtId="14" fontId="13" fillId="40" borderId="11" xfId="0" applyNumberFormat="1" applyFont="1" applyFill="1" applyBorder="1" applyAlignment="1">
      <alignment horizontal="center" vertical="center" wrapText="1"/>
    </xf>
    <xf numFmtId="49" fontId="13" fillId="40" borderId="11" xfId="0" applyNumberFormat="1" applyFont="1" applyFill="1" applyBorder="1" applyAlignment="1">
      <alignment horizontal="center" vertical="center" wrapText="1"/>
    </xf>
    <xf numFmtId="0" fontId="13" fillId="40" borderId="11" xfId="0" applyFont="1" applyFill="1" applyBorder="1" applyAlignment="1">
      <alignment horizontal="center" vertical="center" wrapText="1"/>
    </xf>
    <xf numFmtId="172" fontId="13" fillId="40" borderId="11" xfId="42" applyNumberFormat="1" applyFont="1" applyFill="1" applyBorder="1" applyAlignment="1">
      <alignment horizontal="center" vertical="center" wrapText="1"/>
    </xf>
    <xf numFmtId="0" fontId="13" fillId="40" borderId="11" xfId="0" applyNumberFormat="1" applyFont="1" applyFill="1" applyBorder="1" applyAlignment="1" quotePrefix="1">
      <alignment horizontal="center" vertical="center" wrapText="1"/>
    </xf>
    <xf numFmtId="0" fontId="13" fillId="40" borderId="11"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83" fillId="0" borderId="11" xfId="0" applyFont="1" applyBorder="1" applyAlignment="1" quotePrefix="1">
      <alignment horizontal="center" vertical="center" wrapText="1"/>
    </xf>
    <xf numFmtId="172" fontId="13" fillId="0" borderId="11" xfId="42" applyNumberFormat="1" applyFont="1" applyFill="1" applyBorder="1" applyAlignment="1" quotePrefix="1">
      <alignment horizontal="center" vertical="center"/>
    </xf>
    <xf numFmtId="49" fontId="13" fillId="0" borderId="11" xfId="47" applyNumberFormat="1" applyFont="1" applyFill="1" applyBorder="1" applyAlignment="1">
      <alignment horizontal="center" vertical="center"/>
    </xf>
    <xf numFmtId="172" fontId="83" fillId="0" borderId="11" xfId="42" applyNumberFormat="1" applyFont="1" applyBorder="1" applyAlignment="1">
      <alignment horizontal="center" vertical="center" wrapText="1"/>
    </xf>
    <xf numFmtId="0" fontId="83" fillId="40" borderId="11" xfId="0" applyNumberFormat="1" applyFont="1" applyFill="1" applyBorder="1" applyAlignment="1" applyProtection="1">
      <alignment horizontal="center" vertical="center" wrapText="1"/>
      <protection hidden="1" locked="0"/>
    </xf>
    <xf numFmtId="14" fontId="83" fillId="40" borderId="11" xfId="0" applyNumberFormat="1" applyFont="1" applyFill="1" applyBorder="1" applyAlignment="1" applyProtection="1">
      <alignment horizontal="center" vertical="center" wrapText="1"/>
      <protection hidden="1" locked="0"/>
    </xf>
    <xf numFmtId="14" fontId="83" fillId="0" borderId="11" xfId="0" applyNumberFormat="1" applyFont="1" applyBorder="1" applyAlignment="1">
      <alignment horizontal="center" vertical="center"/>
    </xf>
    <xf numFmtId="0" fontId="83" fillId="0" borderId="11" xfId="0" applyFont="1" applyBorder="1" applyAlignment="1">
      <alignment horizontal="center" vertical="center"/>
    </xf>
    <xf numFmtId="49" fontId="83" fillId="0" borderId="11" xfId="0" applyNumberFormat="1" applyFont="1" applyBorder="1" applyAlignment="1" quotePrefix="1">
      <alignment horizontal="center" vertical="center" wrapText="1"/>
    </xf>
    <xf numFmtId="0" fontId="13" fillId="0" borderId="11" xfId="0" applyFont="1" applyFill="1" applyBorder="1" applyAlignment="1">
      <alignment horizontal="left" vertical="center" wrapText="1" indent="3"/>
    </xf>
    <xf numFmtId="0" fontId="83" fillId="40" borderId="11" xfId="0" applyNumberFormat="1" applyFont="1" applyFill="1" applyBorder="1" applyAlignment="1">
      <alignment horizontal="center" vertical="center" wrapText="1"/>
    </xf>
    <xf numFmtId="14" fontId="13" fillId="0" borderId="0" xfId="0" applyNumberFormat="1" applyFont="1" applyFill="1" applyAlignment="1">
      <alignment horizontal="center" vertical="center"/>
    </xf>
    <xf numFmtId="14" fontId="13" fillId="0" borderId="11" xfId="42" applyNumberFormat="1" applyFont="1" applyFill="1" applyBorder="1" applyAlignment="1">
      <alignment horizontal="center" vertical="center"/>
    </xf>
    <xf numFmtId="14" fontId="13" fillId="0" borderId="0" xfId="42" applyNumberFormat="1" applyFont="1" applyFill="1" applyAlignment="1">
      <alignment horizontal="center" vertical="center"/>
    </xf>
    <xf numFmtId="0" fontId="13" fillId="0" borderId="0" xfId="0" applyFont="1" applyAlignment="1">
      <alignment horizontal="center" vertical="center"/>
    </xf>
    <xf numFmtId="172" fontId="13" fillId="0" borderId="0" xfId="42" applyNumberFormat="1" applyFont="1" applyFill="1" applyBorder="1" applyAlignment="1">
      <alignment horizontal="center" vertical="center"/>
    </xf>
    <xf numFmtId="14" fontId="13" fillId="0" borderId="11" xfId="0" applyNumberFormat="1" applyFont="1" applyFill="1" applyBorder="1" applyAlignment="1">
      <alignment horizontal="center" vertical="center"/>
    </xf>
    <xf numFmtId="183" fontId="12"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14" fontId="13" fillId="0" borderId="11" xfId="0" applyNumberFormat="1" applyFont="1" applyFill="1" applyBorder="1" applyAlignment="1">
      <alignment horizontal="center" vertical="center"/>
    </xf>
    <xf numFmtId="183" fontId="12" fillId="0" borderId="11" xfId="0" applyNumberFormat="1" applyFont="1" applyBorder="1" applyAlignment="1">
      <alignment horizontal="center" vertical="center" wrapText="1"/>
    </xf>
    <xf numFmtId="0" fontId="12" fillId="0" borderId="11" xfId="0" applyFont="1" applyBorder="1" applyAlignment="1">
      <alignment horizontal="center" vertical="center" wrapText="1"/>
    </xf>
    <xf numFmtId="183" fontId="83" fillId="0" borderId="11" xfId="0" applyNumberFormat="1" applyFont="1" applyFill="1" applyBorder="1" applyAlignment="1">
      <alignment horizontal="center" vertical="center" wrapText="1"/>
    </xf>
    <xf numFmtId="14" fontId="83" fillId="0" borderId="11" xfId="0" applyNumberFormat="1" applyFont="1" applyFill="1" applyBorder="1" applyAlignment="1">
      <alignment horizontal="center" vertical="center"/>
    </xf>
    <xf numFmtId="14" fontId="13" fillId="40" borderId="11" xfId="0" applyNumberFormat="1" applyFont="1" applyFill="1" applyBorder="1" applyAlignment="1">
      <alignment horizontal="center" vertical="center"/>
    </xf>
    <xf numFmtId="183" fontId="12" fillId="0" borderId="13" xfId="0" applyNumberFormat="1" applyFont="1" applyFill="1" applyBorder="1" applyAlignment="1">
      <alignment horizontal="center" vertical="center" wrapText="1"/>
    </xf>
    <xf numFmtId="41" fontId="83" fillId="0" borderId="11" xfId="0" applyNumberFormat="1" applyFont="1" applyFill="1" applyBorder="1" applyAlignment="1">
      <alignment horizontal="center" vertical="center"/>
    </xf>
    <xf numFmtId="41" fontId="12" fillId="0" borderId="11" xfId="42" applyNumberFormat="1" applyFont="1" applyBorder="1" applyAlignment="1">
      <alignment horizontal="left" vertical="center" wrapText="1"/>
    </xf>
    <xf numFmtId="41" fontId="13" fillId="0" borderId="11" xfId="0" applyNumberFormat="1" applyFont="1" applyBorder="1" applyAlignment="1">
      <alignment vertical="center"/>
    </xf>
    <xf numFmtId="41" fontId="83" fillId="0" borderId="11" xfId="0" applyNumberFormat="1" applyFont="1" applyFill="1" applyBorder="1" applyAlignment="1">
      <alignment horizontal="center" vertical="center"/>
    </xf>
    <xf numFmtId="41" fontId="83" fillId="0" borderId="11" xfId="42" applyNumberFormat="1" applyFont="1" applyBorder="1" applyAlignment="1">
      <alignment horizontal="left" vertical="center" wrapText="1"/>
    </xf>
    <xf numFmtId="41" fontId="13" fillId="0" borderId="11" xfId="42" applyNumberFormat="1" applyFont="1" applyFill="1" applyBorder="1" applyAlignment="1">
      <alignment vertical="center"/>
    </xf>
    <xf numFmtId="0" fontId="13" fillId="0" borderId="11" xfId="0" applyFont="1" applyFill="1" applyBorder="1" applyAlignment="1" applyProtection="1">
      <alignment horizontal="center" vertical="center" wrapText="1"/>
      <protection/>
    </xf>
    <xf numFmtId="0" fontId="83" fillId="0" borderId="11" xfId="0" applyNumberFormat="1" applyFont="1" applyFill="1" applyBorder="1" applyAlignment="1">
      <alignment horizontal="center" vertical="center" wrapText="1"/>
    </xf>
    <xf numFmtId="172" fontId="13" fillId="0" borderId="11" xfId="42" applyNumberFormat="1" applyFont="1" applyFill="1" applyBorder="1" applyAlignment="1">
      <alignment horizontal="left" vertical="center" wrapText="1"/>
    </xf>
    <xf numFmtId="0" fontId="13" fillId="0" borderId="11" xfId="0" applyFont="1" applyFill="1" applyBorder="1" applyAlignment="1" quotePrefix="1">
      <alignment horizontal="center" vertical="center" wrapText="1"/>
    </xf>
    <xf numFmtId="0" fontId="13" fillId="0" borderId="11" xfId="0" applyFont="1" applyFill="1" applyBorder="1" applyAlignment="1">
      <alignment horizontal="center" vertical="center"/>
    </xf>
    <xf numFmtId="0" fontId="13" fillId="0" borderId="15" xfId="0" applyFont="1" applyFill="1" applyBorder="1" applyAlignment="1">
      <alignment horizontal="center" vertical="center" wrapText="1"/>
    </xf>
    <xf numFmtId="14" fontId="13" fillId="0" borderId="15" xfId="0" applyNumberFormat="1" applyFont="1" applyFill="1" applyBorder="1" applyAlignment="1">
      <alignment horizontal="center" vertical="center"/>
    </xf>
    <xf numFmtId="0" fontId="13" fillId="0" borderId="15" xfId="0" applyFont="1" applyFill="1" applyBorder="1" applyAlignment="1">
      <alignment horizontal="center" vertical="center"/>
    </xf>
    <xf numFmtId="0" fontId="13" fillId="0" borderId="15" xfId="0" applyNumberFormat="1" applyFont="1" applyFill="1" applyBorder="1" applyAlignment="1">
      <alignment horizontal="center" vertical="center" wrapText="1"/>
    </xf>
    <xf numFmtId="172" fontId="13" fillId="0" borderId="11" xfId="42" applyNumberFormat="1" applyFont="1" applyFill="1" applyBorder="1" applyAlignment="1">
      <alignment vertical="center"/>
    </xf>
    <xf numFmtId="172" fontId="13" fillId="0" borderId="11" xfId="0" applyNumberFormat="1" applyFont="1" applyFill="1" applyBorder="1" applyAlignment="1">
      <alignment vertical="center"/>
    </xf>
    <xf numFmtId="172" fontId="13" fillId="0" borderId="15" xfId="0" applyNumberFormat="1" applyFont="1" applyFill="1" applyBorder="1" applyAlignment="1">
      <alignment vertical="center"/>
    </xf>
    <xf numFmtId="14" fontId="83" fillId="0" borderId="11" xfId="0" applyNumberFormat="1" applyFont="1" applyFill="1" applyBorder="1" applyAlignment="1">
      <alignment horizontal="center" vertical="center" wrapText="1"/>
    </xf>
    <xf numFmtId="172" fontId="83" fillId="0" borderId="11" xfId="42" applyNumberFormat="1" applyFont="1" applyFill="1" applyBorder="1" applyAlignment="1">
      <alignment vertical="center" wrapText="1"/>
    </xf>
    <xf numFmtId="172" fontId="83" fillId="0" borderId="11" xfId="42" applyNumberFormat="1" applyFont="1" applyFill="1" applyBorder="1" applyAlignment="1">
      <alignment horizontal="center" vertical="center" wrapText="1"/>
    </xf>
    <xf numFmtId="172" fontId="83" fillId="0" borderId="11" xfId="42" applyNumberFormat="1" applyFont="1" applyFill="1" applyBorder="1" applyAlignment="1">
      <alignment horizontal="left" vertical="center" wrapText="1"/>
    </xf>
    <xf numFmtId="172" fontId="83" fillId="0" borderId="11" xfId="47" applyNumberFormat="1" applyFont="1" applyFill="1" applyBorder="1" applyAlignment="1">
      <alignment horizontal="center" vertical="center"/>
    </xf>
    <xf numFmtId="172" fontId="83" fillId="0" borderId="11" xfId="47" applyNumberFormat="1" applyFont="1" applyFill="1" applyBorder="1" applyAlignment="1">
      <alignment horizontal="center" vertical="center" wrapText="1"/>
    </xf>
    <xf numFmtId="172" fontId="83" fillId="0" borderId="11" xfId="0" applyNumberFormat="1" applyFont="1" applyFill="1" applyBorder="1" applyAlignment="1">
      <alignment horizontal="center" vertical="center" wrapText="1"/>
    </xf>
    <xf numFmtId="172" fontId="83" fillId="0" borderId="11" xfId="45" applyNumberFormat="1" applyFont="1" applyFill="1" applyBorder="1" applyAlignment="1">
      <alignment vertical="center" wrapText="1"/>
    </xf>
    <xf numFmtId="172" fontId="83" fillId="0" borderId="11" xfId="46" applyNumberFormat="1" applyFont="1" applyFill="1" applyBorder="1" applyAlignment="1">
      <alignment horizontal="center" vertical="center" wrapText="1"/>
    </xf>
    <xf numFmtId="172" fontId="83" fillId="0" borderId="13" xfId="47" applyNumberFormat="1" applyFont="1" applyFill="1" applyBorder="1" applyAlignment="1">
      <alignment horizontal="center" vertical="center" wrapText="1"/>
    </xf>
    <xf numFmtId="0" fontId="83" fillId="0" borderId="11" xfId="0" applyFont="1" applyFill="1" applyBorder="1" applyAlignment="1">
      <alignment horizontal="center" vertical="center"/>
    </xf>
    <xf numFmtId="172" fontId="83" fillId="0" borderId="0" xfId="47" applyNumberFormat="1" applyFont="1" applyFill="1" applyBorder="1" applyAlignment="1">
      <alignment horizontal="center" vertical="center"/>
    </xf>
    <xf numFmtId="41" fontId="83" fillId="0" borderId="13" xfId="44" applyFont="1" applyFill="1" applyBorder="1" applyAlignment="1">
      <alignment horizontal="center" vertical="center" wrapText="1"/>
    </xf>
    <xf numFmtId="172" fontId="83" fillId="0" borderId="11" xfId="48" applyNumberFormat="1" applyFont="1" applyFill="1" applyBorder="1" applyAlignment="1">
      <alignment horizontal="center" vertical="center" wrapText="1"/>
    </xf>
    <xf numFmtId="172" fontId="83" fillId="0" borderId="11" xfId="45" applyNumberFormat="1" applyFont="1" applyFill="1" applyBorder="1" applyAlignment="1">
      <alignment horizontal="left" vertical="center" wrapText="1"/>
    </xf>
    <xf numFmtId="0" fontId="83" fillId="0" borderId="0" xfId="0" applyFont="1" applyFill="1" applyAlignment="1">
      <alignment/>
    </xf>
    <xf numFmtId="0" fontId="83" fillId="0" borderId="11" xfId="0" applyNumberFormat="1" applyFont="1" applyFill="1" applyBorder="1" applyAlignment="1" quotePrefix="1">
      <alignment horizontal="center" vertical="center" wrapText="1"/>
    </xf>
    <xf numFmtId="0" fontId="83" fillId="0" borderId="11" xfId="47" applyNumberFormat="1" applyFont="1" applyFill="1" applyBorder="1" applyAlignment="1" quotePrefix="1">
      <alignment horizontal="center" vertical="center"/>
    </xf>
    <xf numFmtId="0" fontId="83" fillId="0" borderId="11" xfId="47" applyNumberFormat="1" applyFont="1" applyFill="1" applyBorder="1" applyAlignment="1">
      <alignment horizontal="center" vertical="center"/>
    </xf>
    <xf numFmtId="0" fontId="83" fillId="0" borderId="11" xfId="43" applyNumberFormat="1" applyFont="1" applyFill="1" applyBorder="1" applyAlignment="1">
      <alignment horizontal="center" vertical="center" wrapText="1"/>
    </xf>
    <xf numFmtId="0" fontId="83" fillId="0" borderId="11" xfId="44" applyNumberFormat="1" applyFont="1" applyFill="1" applyBorder="1" applyAlignment="1">
      <alignment horizontal="center" vertical="center" wrapText="1"/>
    </xf>
    <xf numFmtId="0" fontId="83" fillId="0" borderId="11" xfId="44" applyNumberFormat="1" applyFont="1" applyFill="1" applyBorder="1" applyAlignment="1" quotePrefix="1">
      <alignment horizontal="center" vertical="center" wrapText="1"/>
    </xf>
    <xf numFmtId="14" fontId="83" fillId="0" borderId="11" xfId="42" applyNumberFormat="1" applyFont="1" applyFill="1" applyBorder="1" applyAlignment="1">
      <alignment horizontal="center" vertical="center"/>
    </xf>
    <xf numFmtId="172" fontId="83" fillId="0" borderId="11" xfId="45" applyNumberFormat="1" applyFont="1" applyFill="1" applyBorder="1" applyAlignment="1">
      <alignment horizontal="center" vertical="center" wrapText="1"/>
    </xf>
    <xf numFmtId="0" fontId="83" fillId="0" borderId="11" xfId="0" applyNumberFormat="1" applyFont="1" applyBorder="1" applyAlignment="1" quotePrefix="1">
      <alignment horizontal="center" vertical="center" wrapText="1"/>
    </xf>
    <xf numFmtId="0" fontId="83" fillId="0" borderId="11" xfId="63" applyFont="1" applyFill="1" applyBorder="1" applyAlignment="1" applyProtection="1">
      <alignment horizontal="center" vertical="center" wrapText="1"/>
      <protection locked="0"/>
    </xf>
    <xf numFmtId="14" fontId="83" fillId="0" borderId="11" xfId="62" applyNumberFormat="1" applyFont="1" applyFill="1" applyBorder="1" applyAlignment="1" applyProtection="1" quotePrefix="1">
      <alignment horizontal="center" vertical="center"/>
      <protection locked="0"/>
    </xf>
    <xf numFmtId="14" fontId="83" fillId="0" borderId="11" xfId="62" applyNumberFormat="1" applyFont="1" applyFill="1" applyBorder="1" applyAlignment="1" applyProtection="1" quotePrefix="1">
      <alignment horizontal="center" vertical="center" wrapText="1"/>
      <protection locked="0"/>
    </xf>
    <xf numFmtId="0" fontId="83" fillId="0" borderId="11" xfId="0" applyNumberFormat="1" applyFont="1" applyBorder="1" applyAlignment="1" quotePrefix="1">
      <alignment horizontal="center" vertical="center"/>
    </xf>
    <xf numFmtId="41" fontId="83" fillId="0" borderId="11" xfId="0" applyNumberFormat="1" applyFont="1" applyBorder="1" applyAlignment="1">
      <alignment horizontal="center" vertical="center" wrapText="1"/>
    </xf>
    <xf numFmtId="41" fontId="83" fillId="0" borderId="11" xfId="42" applyNumberFormat="1" applyFont="1" applyBorder="1" applyAlignment="1">
      <alignment horizontal="center" vertical="center" wrapText="1"/>
    </xf>
    <xf numFmtId="41" fontId="83" fillId="0" borderId="11" xfId="62" applyNumberFormat="1" applyFont="1" applyBorder="1" applyAlignment="1" applyProtection="1">
      <alignment horizontal="center" vertical="center"/>
      <protection locked="0"/>
    </xf>
    <xf numFmtId="41" fontId="83" fillId="0" borderId="11" xfId="62" applyNumberFormat="1" applyFont="1" applyBorder="1" applyAlignment="1" applyProtection="1">
      <alignment horizontal="center" vertical="center" wrapText="1"/>
      <protection locked="0"/>
    </xf>
    <xf numFmtId="41" fontId="83" fillId="0" borderId="11" xfId="42" applyNumberFormat="1" applyFont="1" applyBorder="1" applyAlignment="1">
      <alignment horizontal="center" vertical="center"/>
    </xf>
    <xf numFmtId="41" fontId="83" fillId="0" borderId="11" xfId="0" applyNumberFormat="1" applyFont="1" applyBorder="1" applyAlignment="1">
      <alignment horizontal="center" vertical="center"/>
    </xf>
    <xf numFmtId="0" fontId="48" fillId="0" borderId="11" xfId="0" applyFont="1" applyFill="1" applyBorder="1" applyAlignment="1" applyProtection="1">
      <alignment horizontal="center" vertical="center" wrapText="1"/>
      <protection/>
    </xf>
    <xf numFmtId="41" fontId="13" fillId="40" borderId="11" xfId="42" applyNumberFormat="1" applyFont="1" applyFill="1" applyBorder="1" applyAlignment="1">
      <alignment horizontal="center" vertical="center" wrapText="1"/>
    </xf>
    <xf numFmtId="41" fontId="13" fillId="0" borderId="11" xfId="47" applyNumberFormat="1" applyFont="1" applyFill="1" applyBorder="1" applyAlignment="1">
      <alignment horizontal="center" vertical="center" wrapText="1"/>
    </xf>
    <xf numFmtId="14" fontId="13" fillId="0" borderId="11" xfId="0" applyNumberFormat="1" applyFont="1" applyBorder="1" applyAlignment="1">
      <alignment horizontal="center"/>
    </xf>
    <xf numFmtId="0" fontId="13" fillId="0" borderId="11" xfId="0" applyFont="1" applyBorder="1" applyAlignment="1">
      <alignment horizontal="center"/>
    </xf>
    <xf numFmtId="172" fontId="13" fillId="0" borderId="11" xfId="42" applyNumberFormat="1" applyFont="1" applyBorder="1" applyAlignment="1">
      <alignment horizontal="center"/>
    </xf>
    <xf numFmtId="0" fontId="13" fillId="0" borderId="11" xfId="0" applyFont="1" applyBorder="1" applyAlignment="1" quotePrefix="1">
      <alignment horizontal="center"/>
    </xf>
    <xf numFmtId="0" fontId="13" fillId="0" borderId="11" xfId="0" applyFont="1" applyBorder="1" applyAlignment="1">
      <alignment horizontal="center" wrapText="1"/>
    </xf>
    <xf numFmtId="0" fontId="13" fillId="0" borderId="11" xfId="0" applyFont="1" applyBorder="1" applyAlignment="1" quotePrefix="1">
      <alignment horizontal="center" vertical="center" wrapText="1"/>
    </xf>
    <xf numFmtId="0" fontId="89" fillId="0" borderId="0" xfId="0" applyFont="1" applyAlignment="1">
      <alignment horizontal="center" vertical="center"/>
    </xf>
    <xf numFmtId="0" fontId="89" fillId="0" borderId="0" xfId="0" applyFont="1" applyAlignment="1">
      <alignment horizontal="center" vertical="center" wrapText="1"/>
    </xf>
    <xf numFmtId="0" fontId="89" fillId="39" borderId="0" xfId="0" applyFont="1" applyFill="1" applyAlignment="1">
      <alignment horizontal="center" vertical="center" wrapText="1"/>
    </xf>
    <xf numFmtId="0" fontId="90" fillId="39" borderId="0" xfId="0" applyFont="1" applyFill="1" applyAlignment="1">
      <alignment horizontal="center" vertical="center" wrapText="1"/>
    </xf>
    <xf numFmtId="0" fontId="90" fillId="36" borderId="0" xfId="0" applyFont="1" applyFill="1" applyAlignment="1">
      <alignment horizontal="center" vertical="center" wrapText="1"/>
    </xf>
    <xf numFmtId="0" fontId="91" fillId="0" borderId="11" xfId="0" applyFont="1" applyBorder="1" applyAlignment="1">
      <alignment horizontal="left" vertical="center" wrapText="1"/>
    </xf>
    <xf numFmtId="0" fontId="77" fillId="0" borderId="0" xfId="0" applyFont="1" applyAlignment="1">
      <alignment horizontal="left"/>
    </xf>
    <xf numFmtId="0" fontId="77" fillId="0" borderId="0" xfId="0" applyFont="1" applyAlignment="1">
      <alignment horizontal="center"/>
    </xf>
    <xf numFmtId="0" fontId="84" fillId="0" borderId="11" xfId="0" applyFont="1" applyBorder="1" applyAlignment="1">
      <alignment horizontal="center" vertical="center" wrapText="1"/>
    </xf>
    <xf numFmtId="0" fontId="3" fillId="0" borderId="0" xfId="0" applyFont="1" applyAlignment="1">
      <alignment horizontal="left" vertical="center" wrapText="1"/>
    </xf>
    <xf numFmtId="0" fontId="7" fillId="0" borderId="0" xfId="0" applyFont="1" applyAlignment="1">
      <alignment horizontal="center" vertical="center" wrapText="1"/>
    </xf>
    <xf numFmtId="0" fontId="76" fillId="0" borderId="0" xfId="0" applyFont="1" applyAlignment="1">
      <alignment horizontal="center" vertical="center" wrapText="1"/>
    </xf>
    <xf numFmtId="0" fontId="76" fillId="0" borderId="0" xfId="0" applyFont="1" applyAlignment="1">
      <alignment horizontal="center"/>
    </xf>
    <xf numFmtId="49" fontId="87" fillId="39" borderId="11" xfId="0" applyNumberFormat="1" applyFont="1" applyFill="1" applyBorder="1" applyAlignment="1">
      <alignment horizontal="center" vertical="center" wrapText="1"/>
    </xf>
    <xf numFmtId="0" fontId="88" fillId="39" borderId="11" xfId="0" applyFont="1" applyFill="1" applyBorder="1" applyAlignment="1">
      <alignment horizontal="center" vertical="center" wrapText="1"/>
    </xf>
    <xf numFmtId="0" fontId="92" fillId="0" borderId="10" xfId="0" applyFont="1" applyBorder="1" applyAlignment="1">
      <alignment horizontal="right" vertical="center"/>
    </xf>
    <xf numFmtId="49" fontId="87" fillId="39" borderId="14" xfId="0" applyNumberFormat="1" applyFont="1" applyFill="1" applyBorder="1" applyAlignment="1">
      <alignment horizontal="center" vertical="center" wrapText="1"/>
    </xf>
    <xf numFmtId="49" fontId="87" fillId="39" borderId="13" xfId="0" applyNumberFormat="1" applyFont="1" applyFill="1" applyBorder="1" applyAlignment="1">
      <alignment horizontal="center" vertical="center" wrapText="1"/>
    </xf>
    <xf numFmtId="0" fontId="8" fillId="0" borderId="0" xfId="0" applyFont="1" applyAlignment="1">
      <alignment horizontal="center" vertical="center" wrapText="1"/>
    </xf>
    <xf numFmtId="0" fontId="93" fillId="0" borderId="16" xfId="0" applyFont="1" applyBorder="1" applyAlignment="1">
      <alignment horizontal="center" wrapText="1"/>
    </xf>
    <xf numFmtId="0" fontId="4" fillId="0" borderId="0" xfId="0" applyFont="1" applyAlignment="1">
      <alignment horizontal="center" vertical="center" wrapText="1"/>
    </xf>
    <xf numFmtId="0" fontId="76" fillId="0" borderId="0" xfId="0" applyFont="1" applyAlignment="1">
      <alignment horizontal="center" wrapText="1"/>
    </xf>
    <xf numFmtId="0" fontId="3" fillId="0" borderId="0" xfId="0" applyFont="1" applyAlignment="1">
      <alignment horizontal="center" vertical="center" wrapText="1"/>
    </xf>
    <xf numFmtId="0" fontId="89" fillId="37" borderId="0" xfId="0" applyFont="1" applyFill="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left" vertical="center" wrapText="1"/>
    </xf>
    <xf numFmtId="0" fontId="79" fillId="0" borderId="0" xfId="0" applyFont="1" applyAlignment="1">
      <alignment horizontal="center" wrapText="1"/>
    </xf>
    <xf numFmtId="0" fontId="92" fillId="0" borderId="10" xfId="0" applyFont="1" applyBorder="1" applyAlignment="1">
      <alignment horizontal="center" vertical="center"/>
    </xf>
    <xf numFmtId="0" fontId="94" fillId="0" borderId="16" xfId="0" applyFont="1" applyBorder="1" applyAlignment="1">
      <alignment horizontal="center" wrapText="1"/>
    </xf>
    <xf numFmtId="0" fontId="95" fillId="8" borderId="0" xfId="0" applyFont="1" applyFill="1" applyBorder="1" applyAlignment="1" applyProtection="1">
      <alignment horizontal="center" vertical="center"/>
      <protection/>
    </xf>
    <xf numFmtId="0" fontId="96" fillId="41" borderId="11" xfId="0" applyFont="1" applyFill="1" applyBorder="1" applyAlignment="1" applyProtection="1">
      <alignment horizontal="center" vertical="center" wrapText="1"/>
      <protection/>
    </xf>
    <xf numFmtId="0" fontId="76" fillId="0" borderId="0" xfId="0" applyFont="1" applyAlignment="1" applyProtection="1">
      <alignment horizontal="center"/>
      <protection locked="0"/>
    </xf>
    <xf numFmtId="0" fontId="80" fillId="0" borderId="0" xfId="0" applyFont="1" applyAlignment="1" applyProtection="1">
      <alignment horizontal="center" vertical="center"/>
      <protection locked="0"/>
    </xf>
    <xf numFmtId="10" fontId="76" fillId="37" borderId="14" xfId="67" applyNumberFormat="1" applyFont="1" applyFill="1" applyBorder="1" applyAlignment="1" applyProtection="1">
      <alignment horizontal="center" vertical="center" wrapText="1"/>
      <protection/>
    </xf>
    <xf numFmtId="10" fontId="76" fillId="37" borderId="17" xfId="67" applyNumberFormat="1" applyFont="1" applyFill="1" applyBorder="1" applyAlignment="1" applyProtection="1">
      <alignment horizontal="center" vertical="center" wrapText="1"/>
      <protection/>
    </xf>
    <xf numFmtId="10" fontId="76" fillId="37" borderId="13" xfId="67" applyNumberFormat="1" applyFont="1" applyFill="1" applyBorder="1" applyAlignment="1" applyProtection="1">
      <alignment horizontal="center" vertical="center" wrapText="1"/>
      <protection/>
    </xf>
    <xf numFmtId="0" fontId="76" fillId="0" borderId="11" xfId="0" applyFont="1" applyBorder="1" applyAlignment="1" applyProtection="1">
      <alignment horizontal="center" vertical="center"/>
      <protection locked="0"/>
    </xf>
    <xf numFmtId="0" fontId="77" fillId="0" borderId="0" xfId="0" applyFont="1" applyAlignment="1" applyProtection="1">
      <alignment horizontal="left"/>
      <protection locked="0"/>
    </xf>
    <xf numFmtId="0" fontId="97" fillId="42" borderId="0" xfId="0" applyFont="1" applyFill="1" applyAlignment="1" applyProtection="1">
      <alignment horizontal="center" vertical="center"/>
      <protection locked="0"/>
    </xf>
    <xf numFmtId="0" fontId="98" fillId="0" borderId="0" xfId="0" applyFont="1" applyBorder="1" applyAlignment="1" applyProtection="1">
      <alignment horizontal="center"/>
      <protection locked="0"/>
    </xf>
    <xf numFmtId="0" fontId="82" fillId="0" borderId="0" xfId="0" applyFont="1" applyAlignment="1" applyProtection="1">
      <alignment horizontal="center"/>
      <protection locked="0"/>
    </xf>
    <xf numFmtId="172" fontId="10" fillId="0" borderId="0" xfId="42" applyNumberFormat="1" applyFont="1" applyFill="1" applyBorder="1" applyAlignment="1" applyProtection="1">
      <alignment horizontal="center" vertical="center" wrapText="1"/>
      <protection/>
    </xf>
    <xf numFmtId="0" fontId="99" fillId="35" borderId="0" xfId="0" applyFont="1" applyFill="1" applyAlignment="1" applyProtection="1">
      <alignment horizontal="center"/>
      <protection locked="0"/>
    </xf>
    <xf numFmtId="0" fontId="0" fillId="0" borderId="0" xfId="0" applyAlignment="1" applyProtection="1">
      <alignment horizontal="center" vertical="center"/>
      <protection locked="0"/>
    </xf>
    <xf numFmtId="172" fontId="9" fillId="0" borderId="16" xfId="42" applyNumberFormat="1" applyFont="1" applyFill="1" applyBorder="1" applyAlignment="1" applyProtection="1">
      <alignment horizontal="center" vertical="center" wrapText="1"/>
      <protection/>
    </xf>
    <xf numFmtId="0" fontId="74" fillId="0" borderId="11" xfId="0" applyFont="1" applyBorder="1" applyAlignment="1" applyProtection="1">
      <alignment horizontal="center" vertical="center"/>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10" xfId="45"/>
    <cellStyle name="Comma 2" xfId="46"/>
    <cellStyle name="Comma 3" xfId="47"/>
    <cellStyle name="Comma 7"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_DATA" xfId="63"/>
    <cellStyle name="Normal 3" xfId="64"/>
    <cellStyle name="Note" xfId="65"/>
    <cellStyle name="Output" xfId="66"/>
    <cellStyle name="Percent" xfId="67"/>
    <cellStyle name="Title" xfId="68"/>
    <cellStyle name="Total" xfId="69"/>
    <cellStyle name="Warning Text" xfId="70"/>
  </cellStyles>
  <dxfs count="3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3</xdr:row>
      <xdr:rowOff>219075</xdr:rowOff>
    </xdr:from>
    <xdr:to>
      <xdr:col>10</xdr:col>
      <xdr:colOff>600075</xdr:colOff>
      <xdr:row>3</xdr:row>
      <xdr:rowOff>219075</xdr:rowOff>
    </xdr:to>
    <xdr:sp>
      <xdr:nvSpPr>
        <xdr:cNvPr id="1" name="Straight Connector 4"/>
        <xdr:cNvSpPr>
          <a:spLocks/>
        </xdr:cNvSpPr>
      </xdr:nvSpPr>
      <xdr:spPr>
        <a:xfrm flipV="1">
          <a:off x="9563100" y="809625"/>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20CONG%20VAN%20TONG%20CUC\3.%20Danh%20sach%20TDNH%2012T-20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BAO%20CAO%20KQTHADS\4.NAM%202018\12.%20THANG%2012%20(T09-2018)\TONG%20HOP%20TOAN%20TINH%20T12-2018\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ưu ý"/>
      <sheetName val="Danhsach"/>
      <sheetName val="Danhsach1"/>
      <sheetName val="Nguyen_nhan"/>
      <sheetName val="TCTD"/>
      <sheetName val="TK_theonguyennhan"/>
      <sheetName val="TK_theoTCTD"/>
    </sheetNames>
    <sheetDataSet>
      <sheetData sheetId="3">
        <row r="3">
          <cell r="B3" t="str">
            <v>1.Thi hành xong</v>
          </cell>
        </row>
        <row r="4">
          <cell r="B4" t="str">
            <v>2.Đình chỉ thi hành án</v>
          </cell>
        </row>
        <row r="5">
          <cell r="B5" t="str">
            <v>3.Đang thi hành</v>
          </cell>
        </row>
        <row r="6">
          <cell r="B6" t="str">
            <v>4.Hoãn thi hành án</v>
          </cell>
        </row>
        <row r="7">
          <cell r="B7" t="str">
            <v>5.Tạm đình chỉ thi hành án</v>
          </cell>
        </row>
        <row r="8">
          <cell r="B8" t="str">
            <v>6.Tạm dừng thi hành án để giải quyết khiếu nại</v>
          </cell>
        </row>
        <row r="9">
          <cell r="B9" t="str">
            <v>7.Đang trong thời gian tự nguyện thi hành án</v>
          </cell>
        </row>
        <row r="10">
          <cell r="B10" t="str">
            <v>8.Đang trong thời gian chờ ý kiến chỉ đạo nghiệp vụ của cơ quan có thẩm quyền</v>
          </cell>
        </row>
        <row r="11">
          <cell r="B11" t="str">
            <v>9.Đang trong thời gian chờ ý kiến Ban Chỉ đạo thi hành án dân sự</v>
          </cell>
        </row>
        <row r="12">
          <cell r="B12" t="str">
            <v>Chưa có điều kiện thi hành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cel"/>
      <sheetName val="Nhap thong tin"/>
      <sheetName val="Nhap so lieu"/>
      <sheetName val="InViec"/>
      <sheetName val="InPtich"/>
      <sheetName val="InGtri"/>
      <sheetName val="Excel!"/>
      <sheetName val="TTLT"/>
      <sheetName val="In D.tuong"/>
      <sheetName val="Chuyen so lieu"/>
    </sheetNames>
    <sheetDataSet>
      <sheetData sheetId="2">
        <row r="26">
          <cell r="CA26">
            <v>24145790402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R7"/>
  <sheetViews>
    <sheetView zoomScalePageLayoutView="0" workbookViewId="0" topLeftCell="A1">
      <selection activeCell="H14" sqref="H14"/>
    </sheetView>
  </sheetViews>
  <sheetFormatPr defaultColWidth="9.140625" defaultRowHeight="15"/>
  <sheetData>
    <row r="3" spans="1:18" ht="45.75" customHeight="1">
      <c r="A3" s="345" t="s">
        <v>619</v>
      </c>
      <c r="B3" s="345"/>
      <c r="C3" s="345"/>
      <c r="D3" s="345"/>
      <c r="E3" s="345"/>
      <c r="F3" s="345"/>
      <c r="G3" s="345"/>
      <c r="H3" s="345"/>
      <c r="I3" s="345"/>
      <c r="J3" s="345"/>
      <c r="K3" s="345"/>
      <c r="L3" s="345"/>
      <c r="M3" s="345"/>
      <c r="N3" s="345"/>
      <c r="O3" s="345"/>
      <c r="P3" s="345"/>
      <c r="Q3" s="345"/>
      <c r="R3" s="345"/>
    </row>
    <row r="4" spans="1:18" ht="45" customHeight="1">
      <c r="A4" s="345" t="s">
        <v>620</v>
      </c>
      <c r="B4" s="345"/>
      <c r="C4" s="345"/>
      <c r="D4" s="345"/>
      <c r="E4" s="345"/>
      <c r="F4" s="345"/>
      <c r="G4" s="345"/>
      <c r="H4" s="345"/>
      <c r="I4" s="345"/>
      <c r="J4" s="345"/>
      <c r="K4" s="345"/>
      <c r="L4" s="345"/>
      <c r="M4" s="345"/>
      <c r="N4" s="345"/>
      <c r="O4" s="345"/>
      <c r="P4" s="345"/>
      <c r="Q4" s="345"/>
      <c r="R4" s="345"/>
    </row>
    <row r="5" spans="1:18" ht="15">
      <c r="A5" s="345" t="s">
        <v>621</v>
      </c>
      <c r="B5" s="345"/>
      <c r="C5" s="345"/>
      <c r="D5" s="345"/>
      <c r="E5" s="345"/>
      <c r="F5" s="345"/>
      <c r="G5" s="345"/>
      <c r="H5" s="345"/>
      <c r="I5" s="345"/>
      <c r="J5" s="345"/>
      <c r="K5" s="345"/>
      <c r="L5" s="345"/>
      <c r="M5" s="345"/>
      <c r="N5" s="345"/>
      <c r="O5" s="345"/>
      <c r="P5" s="345"/>
      <c r="Q5" s="345"/>
      <c r="R5" s="345"/>
    </row>
    <row r="6" spans="1:18" ht="15">
      <c r="A6" s="345" t="s">
        <v>622</v>
      </c>
      <c r="B6" s="345"/>
      <c r="C6" s="345"/>
      <c r="D6" s="345"/>
      <c r="E6" s="345"/>
      <c r="F6" s="345"/>
      <c r="G6" s="345"/>
      <c r="H6" s="345"/>
      <c r="I6" s="345"/>
      <c r="J6" s="345"/>
      <c r="K6" s="345"/>
      <c r="L6" s="345"/>
      <c r="M6" s="345"/>
      <c r="N6" s="345"/>
      <c r="O6" s="345"/>
      <c r="P6" s="345"/>
      <c r="Q6" s="345"/>
      <c r="R6" s="345"/>
    </row>
    <row r="7" spans="1:18" ht="15">
      <c r="A7" s="345" t="s">
        <v>623</v>
      </c>
      <c r="B7" s="345"/>
      <c r="C7" s="345"/>
      <c r="D7" s="345"/>
      <c r="E7" s="345"/>
      <c r="F7" s="345"/>
      <c r="G7" s="345"/>
      <c r="H7" s="345"/>
      <c r="I7" s="345"/>
      <c r="J7" s="345"/>
      <c r="K7" s="345"/>
      <c r="L7" s="345"/>
      <c r="M7" s="345"/>
      <c r="N7" s="345"/>
      <c r="O7" s="345"/>
      <c r="P7" s="345"/>
      <c r="Q7" s="345"/>
      <c r="R7" s="345"/>
    </row>
  </sheetData>
  <sheetProtection/>
  <mergeCells count="5">
    <mergeCell ref="A3:R3"/>
    <mergeCell ref="A4:R4"/>
    <mergeCell ref="A5:R5"/>
    <mergeCell ref="A6:R6"/>
    <mergeCell ref="A7:R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M326"/>
  <sheetViews>
    <sheetView view="pageBreakPreview" zoomScale="85" zoomScaleNormal="85" zoomScaleSheetLayoutView="85" zoomScalePageLayoutView="0" workbookViewId="0" topLeftCell="A309">
      <selection activeCell="H315" sqref="H315:K315"/>
    </sheetView>
  </sheetViews>
  <sheetFormatPr defaultColWidth="9.00390625" defaultRowHeight="15"/>
  <cols>
    <col min="1" max="1" width="4.140625" style="3" customWidth="1"/>
    <col min="2" max="2" width="13.140625" style="110" customWidth="1"/>
    <col min="3" max="3" width="11.00390625" style="63" customWidth="1"/>
    <col min="4" max="4" width="7.7109375" style="70" customWidth="1"/>
    <col min="5" max="5" width="11.7109375" style="106" customWidth="1"/>
    <col min="6" max="6" width="26.421875" style="75" customWidth="1"/>
    <col min="7" max="7" width="24.57421875" style="138" customWidth="1"/>
    <col min="8" max="8" width="13.140625" style="84" customWidth="1"/>
    <col min="9" max="9" width="13.421875" style="84" customWidth="1"/>
    <col min="10" max="10" width="14.7109375" style="84" customWidth="1"/>
    <col min="11" max="11" width="18.8515625" style="3" customWidth="1"/>
    <col min="12" max="12" width="8.421875" style="63" customWidth="1"/>
    <col min="13" max="13" width="0" style="340" hidden="1" customWidth="1"/>
    <col min="14" max="16384" width="9.00390625" style="3" customWidth="1"/>
  </cols>
  <sheetData>
    <row r="1" spans="1:12" ht="4.5" customHeight="1">
      <c r="A1" s="346"/>
      <c r="B1" s="346"/>
      <c r="C1" s="65"/>
      <c r="D1" s="69"/>
      <c r="E1" s="173"/>
      <c r="F1" s="73"/>
      <c r="G1" s="139"/>
      <c r="H1" s="2"/>
      <c r="I1" s="2"/>
      <c r="J1" s="2"/>
      <c r="K1" s="347"/>
      <c r="L1" s="347"/>
    </row>
    <row r="2" spans="1:12" ht="17.25" customHeight="1">
      <c r="A2" s="349" t="s">
        <v>194</v>
      </c>
      <c r="B2" s="349"/>
      <c r="C2" s="349"/>
      <c r="E2" s="362" t="s">
        <v>840</v>
      </c>
      <c r="F2" s="362"/>
      <c r="G2" s="362"/>
      <c r="H2" s="362"/>
      <c r="I2" s="362"/>
      <c r="J2" s="358" t="s">
        <v>318</v>
      </c>
      <c r="K2" s="358"/>
      <c r="L2" s="358"/>
    </row>
    <row r="3" spans="1:12" ht="24.75" customHeight="1">
      <c r="A3" s="350" t="s">
        <v>324</v>
      </c>
      <c r="B3" s="350"/>
      <c r="C3" s="350"/>
      <c r="D3" s="350"/>
      <c r="E3" s="362"/>
      <c r="F3" s="362"/>
      <c r="G3" s="362"/>
      <c r="H3" s="362"/>
      <c r="I3" s="362"/>
      <c r="J3" s="358"/>
      <c r="K3" s="358"/>
      <c r="L3" s="358"/>
    </row>
    <row r="4" spans="1:12" ht="21" customHeight="1">
      <c r="A4" s="349" t="s">
        <v>193</v>
      </c>
      <c r="B4" s="349"/>
      <c r="C4" s="349"/>
      <c r="D4" s="71"/>
      <c r="E4" s="362"/>
      <c r="F4" s="362"/>
      <c r="G4" s="362"/>
      <c r="H4" s="362"/>
      <c r="I4" s="362"/>
      <c r="J4" s="358"/>
      <c r="K4" s="358"/>
      <c r="L4" s="358"/>
    </row>
    <row r="5" spans="1:12" ht="33" customHeight="1">
      <c r="A5" s="360" t="s">
        <v>839</v>
      </c>
      <c r="B5" s="360"/>
      <c r="C5" s="360"/>
      <c r="D5" s="360"/>
      <c r="E5" s="362"/>
      <c r="F5" s="362"/>
      <c r="G5" s="362"/>
      <c r="H5" s="362"/>
      <c r="I5" s="362"/>
      <c r="J5" s="31"/>
      <c r="K5" s="31"/>
      <c r="L5" s="31"/>
    </row>
    <row r="6" spans="1:12" ht="20.25" customHeight="1">
      <c r="A6" s="4"/>
      <c r="B6" s="109"/>
      <c r="C6" s="8"/>
      <c r="D6" s="72"/>
      <c r="E6" s="8"/>
      <c r="F6" s="74"/>
      <c r="G6" s="8"/>
      <c r="H6" s="5"/>
      <c r="I6" s="5"/>
      <c r="J6" s="355" t="s">
        <v>2</v>
      </c>
      <c r="K6" s="355"/>
      <c r="L6" s="355"/>
    </row>
    <row r="7" spans="1:13" s="6" customFormat="1" ht="61.5" customHeight="1">
      <c r="A7" s="348" t="s">
        <v>10</v>
      </c>
      <c r="B7" s="88" t="s">
        <v>15</v>
      </c>
      <c r="C7" s="236" t="s">
        <v>16</v>
      </c>
      <c r="D7" s="88" t="s">
        <v>11</v>
      </c>
      <c r="E7" s="236" t="s">
        <v>17</v>
      </c>
      <c r="F7" s="89" t="s">
        <v>12</v>
      </c>
      <c r="G7" s="236" t="s">
        <v>18</v>
      </c>
      <c r="H7" s="236" t="s">
        <v>3</v>
      </c>
      <c r="I7" s="236" t="s">
        <v>4</v>
      </c>
      <c r="J7" s="236" t="s">
        <v>5</v>
      </c>
      <c r="K7" s="236" t="s">
        <v>6</v>
      </c>
      <c r="L7" s="236" t="s">
        <v>8</v>
      </c>
      <c r="M7" s="341"/>
    </row>
    <row r="8" spans="1:13" s="6" customFormat="1" ht="13.5" customHeight="1">
      <c r="A8" s="348"/>
      <c r="B8" s="91">
        <v>1</v>
      </c>
      <c r="C8" s="91">
        <v>2</v>
      </c>
      <c r="D8" s="91">
        <v>3</v>
      </c>
      <c r="E8" s="91">
        <v>4</v>
      </c>
      <c r="F8" s="92">
        <v>5</v>
      </c>
      <c r="G8" s="91">
        <v>6</v>
      </c>
      <c r="H8" s="93">
        <v>7</v>
      </c>
      <c r="I8" s="93">
        <v>8</v>
      </c>
      <c r="J8" s="102" t="s">
        <v>14</v>
      </c>
      <c r="K8" s="91">
        <v>10</v>
      </c>
      <c r="L8" s="91">
        <v>11</v>
      </c>
      <c r="M8" s="341"/>
    </row>
    <row r="9" spans="1:13" s="180" customFormat="1" ht="25.5" customHeight="1">
      <c r="A9" s="176"/>
      <c r="B9" s="177" t="s">
        <v>7</v>
      </c>
      <c r="C9" s="178">
        <f>COUNTA(C10:C314)</f>
        <v>293</v>
      </c>
      <c r="D9" s="177">
        <f>COUNTA(D10:D314)</f>
        <v>293</v>
      </c>
      <c r="E9" s="178">
        <f>COUNTA(E10:E314)</f>
        <v>293</v>
      </c>
      <c r="F9" s="178">
        <f>COUNTA(F10:F314)</f>
        <v>293</v>
      </c>
      <c r="G9" s="178">
        <f>COUNTA(G10:G314)</f>
        <v>293</v>
      </c>
      <c r="H9" s="179">
        <f>SUM(H11:H314)</f>
        <v>311965974.217</v>
      </c>
      <c r="I9" s="179">
        <f>SUM(I11:I314)</f>
        <v>58444768.117</v>
      </c>
      <c r="J9" s="179">
        <f>SUM(J11:J314)</f>
        <v>253521206.10000002</v>
      </c>
      <c r="K9" s="178">
        <f>COUNTA(K10:K314)</f>
        <v>293</v>
      </c>
      <c r="L9" s="178">
        <f>COUNTA(L10:L314)</f>
        <v>0</v>
      </c>
      <c r="M9" s="342"/>
    </row>
    <row r="10" spans="1:13" s="186" customFormat="1" ht="34.5" customHeight="1">
      <c r="A10" s="181" t="s">
        <v>0</v>
      </c>
      <c r="B10" s="356" t="s">
        <v>19</v>
      </c>
      <c r="C10" s="357"/>
      <c r="D10" s="177"/>
      <c r="E10" s="182"/>
      <c r="F10" s="177"/>
      <c r="G10" s="183"/>
      <c r="H10" s="184"/>
      <c r="I10" s="184"/>
      <c r="J10" s="184"/>
      <c r="K10" s="185"/>
      <c r="L10" s="183"/>
      <c r="M10" s="343"/>
    </row>
    <row r="11" spans="1:13" s="117" customFormat="1" ht="34.5" customHeight="1">
      <c r="A11" s="228">
        <v>1</v>
      </c>
      <c r="B11" s="246" t="s">
        <v>530</v>
      </c>
      <c r="C11" s="245">
        <v>42802</v>
      </c>
      <c r="D11" s="246" t="s">
        <v>509</v>
      </c>
      <c r="E11" s="245">
        <v>43560</v>
      </c>
      <c r="F11" s="247" t="s">
        <v>52</v>
      </c>
      <c r="G11" s="250" t="s">
        <v>510</v>
      </c>
      <c r="H11" s="332">
        <f>13748953</f>
        <v>13748953</v>
      </c>
      <c r="I11" s="332">
        <v>1276002</v>
      </c>
      <c r="J11" s="101">
        <f>H11-I11</f>
        <v>12472951</v>
      </c>
      <c r="K11" s="250" t="s">
        <v>316</v>
      </c>
      <c r="L11" s="94"/>
      <c r="M11" s="344">
        <f>IF(AND(J11=0,K11=Nguyen_nhan!$B$3),"Đúng",IF(AND(J11&lt;&gt;0,K11=Nguyen_nhan!$B$3),"Sai",""))</f>
      </c>
    </row>
    <row r="12" spans="1:13" s="117" customFormat="1" ht="34.5" customHeight="1">
      <c r="A12" s="228">
        <v>2</v>
      </c>
      <c r="B12" s="246" t="s">
        <v>531</v>
      </c>
      <c r="C12" s="245">
        <v>43432</v>
      </c>
      <c r="D12" s="246" t="s">
        <v>511</v>
      </c>
      <c r="E12" s="245">
        <v>43532</v>
      </c>
      <c r="F12" s="247" t="s">
        <v>52</v>
      </c>
      <c r="G12" s="250" t="s">
        <v>512</v>
      </c>
      <c r="H12" s="333">
        <f>1635307117/1000</f>
        <v>1635307.117</v>
      </c>
      <c r="I12" s="333">
        <f>1635307117/1000</f>
        <v>1635307.117</v>
      </c>
      <c r="J12" s="101">
        <f aca="true" t="shared" si="0" ref="J12:J37">H12-I12</f>
        <v>0</v>
      </c>
      <c r="K12" s="250" t="s">
        <v>203</v>
      </c>
      <c r="L12" s="94"/>
      <c r="M12" s="344" t="str">
        <f>IF(AND(J12=0,K12=Nguyen_nhan!$B$3),"Đúng",IF(AND(J12&lt;&gt;0,K12=Nguyen_nhan!$B$3),"Sai",""))</f>
        <v>Đúng</v>
      </c>
    </row>
    <row r="13" spans="1:13" s="117" customFormat="1" ht="34.5" customHeight="1">
      <c r="A13" s="228">
        <v>3</v>
      </c>
      <c r="B13" s="246" t="s">
        <v>532</v>
      </c>
      <c r="C13" s="245">
        <v>43420</v>
      </c>
      <c r="D13" s="246" t="s">
        <v>513</v>
      </c>
      <c r="E13" s="245">
        <v>43439</v>
      </c>
      <c r="F13" s="247" t="s">
        <v>27</v>
      </c>
      <c r="G13" s="250" t="s">
        <v>514</v>
      </c>
      <c r="H13" s="332">
        <v>1081805</v>
      </c>
      <c r="I13" s="332">
        <v>0</v>
      </c>
      <c r="J13" s="101">
        <f t="shared" si="0"/>
        <v>1081805</v>
      </c>
      <c r="K13" s="250" t="s">
        <v>316</v>
      </c>
      <c r="L13" s="94"/>
      <c r="M13" s="344">
        <f>IF(AND(J13=0,K13=Nguyen_nhan!$B$3),"Đúng",IF(AND(J13&lt;&gt;0,K13=Nguyen_nhan!$B$3),"Sai",""))</f>
      </c>
    </row>
    <row r="14" spans="1:13" s="117" customFormat="1" ht="34.5" customHeight="1">
      <c r="A14" s="228">
        <v>4</v>
      </c>
      <c r="B14" s="246" t="s">
        <v>533</v>
      </c>
      <c r="C14" s="245">
        <v>42738</v>
      </c>
      <c r="D14" s="246" t="s">
        <v>515</v>
      </c>
      <c r="E14" s="245">
        <v>42782</v>
      </c>
      <c r="F14" s="247" t="s">
        <v>50</v>
      </c>
      <c r="G14" s="250" t="s">
        <v>510</v>
      </c>
      <c r="H14" s="332">
        <f>'[2]Nhap so lieu'!$CA$26/1000</f>
        <v>24145790.402</v>
      </c>
      <c r="I14" s="332">
        <v>0</v>
      </c>
      <c r="J14" s="101">
        <f t="shared" si="0"/>
        <v>24145790.402</v>
      </c>
      <c r="K14" s="250" t="s">
        <v>316</v>
      </c>
      <c r="L14" s="94"/>
      <c r="M14" s="344">
        <f>IF(AND(J14=0,K14=Nguyen_nhan!$B$3),"Đúng",IF(AND(J14&lt;&gt;0,K14=Nguyen_nhan!$B$3),"Sai",""))</f>
      </c>
    </row>
    <row r="15" spans="1:13" s="117" customFormat="1" ht="34.5" customHeight="1">
      <c r="A15" s="228">
        <v>5</v>
      </c>
      <c r="B15" s="246" t="s">
        <v>534</v>
      </c>
      <c r="C15" s="245">
        <v>41386</v>
      </c>
      <c r="D15" s="246" t="s">
        <v>447</v>
      </c>
      <c r="E15" s="245">
        <v>42654</v>
      </c>
      <c r="F15" s="247" t="s">
        <v>42</v>
      </c>
      <c r="G15" s="250" t="s">
        <v>516</v>
      </c>
      <c r="H15" s="332">
        <v>16706736</v>
      </c>
      <c r="I15" s="332">
        <v>0</v>
      </c>
      <c r="J15" s="101">
        <f t="shared" si="0"/>
        <v>16706736</v>
      </c>
      <c r="K15" s="250" t="s">
        <v>316</v>
      </c>
      <c r="L15" s="94"/>
      <c r="M15" s="344">
        <f>IF(AND(J15=0,K15=Nguyen_nhan!$B$3),"Đúng",IF(AND(J15&lt;&gt;0,K15=Nguyen_nhan!$B$3),"Sai",""))</f>
      </c>
    </row>
    <row r="16" spans="1:13" s="117" customFormat="1" ht="34.5" customHeight="1">
      <c r="A16" s="228">
        <v>6</v>
      </c>
      <c r="B16" s="246" t="s">
        <v>534</v>
      </c>
      <c r="C16" s="245">
        <v>42111</v>
      </c>
      <c r="D16" s="246" t="s">
        <v>517</v>
      </c>
      <c r="E16" s="245">
        <v>43656</v>
      </c>
      <c r="F16" s="247" t="s">
        <v>56</v>
      </c>
      <c r="G16" s="250" t="s">
        <v>518</v>
      </c>
      <c r="H16" s="332">
        <v>411600</v>
      </c>
      <c r="I16" s="332">
        <v>0</v>
      </c>
      <c r="J16" s="101">
        <f t="shared" si="0"/>
        <v>411600</v>
      </c>
      <c r="K16" s="250" t="s">
        <v>316</v>
      </c>
      <c r="L16" s="94"/>
      <c r="M16" s="344">
        <f>IF(AND(J16=0,K16=Nguyen_nhan!$B$3),"Đúng",IF(AND(J16&lt;&gt;0,K16=Nguyen_nhan!$B$3),"Sai",""))</f>
      </c>
    </row>
    <row r="17" spans="1:13" s="117" customFormat="1" ht="34.5" customHeight="1">
      <c r="A17" s="228">
        <v>7</v>
      </c>
      <c r="B17" s="246" t="s">
        <v>536</v>
      </c>
      <c r="C17" s="245">
        <v>43795</v>
      </c>
      <c r="D17" s="246" t="s">
        <v>519</v>
      </c>
      <c r="E17" s="245">
        <v>43941</v>
      </c>
      <c r="F17" s="247" t="s">
        <v>209</v>
      </c>
      <c r="G17" s="250" t="s">
        <v>520</v>
      </c>
      <c r="H17" s="332">
        <v>1893750</v>
      </c>
      <c r="I17" s="332">
        <v>0</v>
      </c>
      <c r="J17" s="101">
        <f t="shared" si="0"/>
        <v>1893750</v>
      </c>
      <c r="K17" s="250" t="s">
        <v>316</v>
      </c>
      <c r="L17" s="94"/>
      <c r="M17" s="344">
        <f>IF(AND(J17=0,K17=Nguyen_nhan!$B$3),"Đúng",IF(AND(J17&lt;&gt;0,K17=Nguyen_nhan!$B$3),"Sai",""))</f>
      </c>
    </row>
    <row r="18" spans="1:13" s="117" customFormat="1" ht="34.5" customHeight="1">
      <c r="A18" s="228">
        <v>8</v>
      </c>
      <c r="B18" s="246" t="s">
        <v>537</v>
      </c>
      <c r="C18" s="245">
        <v>43794</v>
      </c>
      <c r="D18" s="246" t="s">
        <v>521</v>
      </c>
      <c r="E18" s="245">
        <v>44018</v>
      </c>
      <c r="F18" s="247" t="s">
        <v>50</v>
      </c>
      <c r="G18" s="250" t="s">
        <v>522</v>
      </c>
      <c r="H18" s="332">
        <f>11188015</f>
        <v>11188015</v>
      </c>
      <c r="I18" s="332">
        <f>3561630+53317+4276046+20000</f>
        <v>7910993</v>
      </c>
      <c r="J18" s="101">
        <f t="shared" si="0"/>
        <v>3277022</v>
      </c>
      <c r="K18" s="250" t="s">
        <v>316</v>
      </c>
      <c r="L18" s="94"/>
      <c r="M18" s="344">
        <f>IF(AND(J18=0,K18=Nguyen_nhan!$B$3),"Đúng",IF(AND(J18&lt;&gt;0,K18=Nguyen_nhan!$B$3),"Sai",""))</f>
      </c>
    </row>
    <row r="19" spans="1:13" s="117" customFormat="1" ht="34.5" customHeight="1">
      <c r="A19" s="228">
        <v>9</v>
      </c>
      <c r="B19" s="246" t="s">
        <v>538</v>
      </c>
      <c r="C19" s="245">
        <v>43774</v>
      </c>
      <c r="D19" s="246" t="s">
        <v>529</v>
      </c>
      <c r="E19" s="245">
        <v>44018</v>
      </c>
      <c r="F19" s="247" t="s">
        <v>50</v>
      </c>
      <c r="G19" s="250" t="s">
        <v>539</v>
      </c>
      <c r="H19" s="332">
        <v>1926940</v>
      </c>
      <c r="I19" s="332">
        <f>613428+9183</f>
        <v>622611</v>
      </c>
      <c r="J19" s="101">
        <f t="shared" si="0"/>
        <v>1304329</v>
      </c>
      <c r="K19" s="250" t="s">
        <v>316</v>
      </c>
      <c r="L19" s="94"/>
      <c r="M19" s="344">
        <f>IF(AND(J19=0,K19=Nguyen_nhan!$B$3),"Đúng",IF(AND(J19&lt;&gt;0,K19=Nguyen_nhan!$B$3),"Sai",""))</f>
      </c>
    </row>
    <row r="20" spans="1:13" s="117" customFormat="1" ht="34.5" customHeight="1">
      <c r="A20" s="228">
        <v>10</v>
      </c>
      <c r="B20" s="246" t="s">
        <v>540</v>
      </c>
      <c r="C20" s="245">
        <v>44005</v>
      </c>
      <c r="D20" s="246" t="s">
        <v>524</v>
      </c>
      <c r="E20" s="245">
        <v>44053</v>
      </c>
      <c r="F20" s="247" t="s">
        <v>53</v>
      </c>
      <c r="G20" s="250" t="s">
        <v>384</v>
      </c>
      <c r="H20" s="332">
        <v>304112</v>
      </c>
      <c r="I20" s="332">
        <v>0</v>
      </c>
      <c r="J20" s="101">
        <f t="shared" si="0"/>
        <v>304112</v>
      </c>
      <c r="K20" s="250" t="s">
        <v>316</v>
      </c>
      <c r="L20" s="94"/>
      <c r="M20" s="344">
        <f>IF(AND(J20=0,K20=Nguyen_nhan!$B$3),"Đúng",IF(AND(J20&lt;&gt;0,K20=Nguyen_nhan!$B$3),"Sai",""))</f>
      </c>
    </row>
    <row r="21" spans="1:13" s="117" customFormat="1" ht="34.5" customHeight="1">
      <c r="A21" s="228">
        <v>11</v>
      </c>
      <c r="B21" s="246" t="s">
        <v>533</v>
      </c>
      <c r="C21" s="245">
        <v>41281</v>
      </c>
      <c r="D21" s="246" t="s">
        <v>353</v>
      </c>
      <c r="E21" s="245">
        <v>41582</v>
      </c>
      <c r="F21" s="247" t="s">
        <v>53</v>
      </c>
      <c r="G21" s="250" t="s">
        <v>523</v>
      </c>
      <c r="H21" s="332">
        <v>876969</v>
      </c>
      <c r="I21" s="332">
        <f>160103+716866</f>
        <v>876969</v>
      </c>
      <c r="J21" s="101">
        <f t="shared" si="0"/>
        <v>0</v>
      </c>
      <c r="K21" s="250" t="s">
        <v>203</v>
      </c>
      <c r="L21" s="94"/>
      <c r="M21" s="344" t="str">
        <f>IF(AND(J21=0,K21=Nguyen_nhan!$B$3),"Đúng",IF(AND(J21&lt;&gt;0,K21=Nguyen_nhan!$B$3),"Sai",""))</f>
        <v>Đúng</v>
      </c>
    </row>
    <row r="22" spans="1:13" s="117" customFormat="1" ht="34.5" customHeight="1">
      <c r="A22" s="228">
        <v>12</v>
      </c>
      <c r="B22" s="246" t="s">
        <v>536</v>
      </c>
      <c r="C22" s="245">
        <v>43795</v>
      </c>
      <c r="D22" s="246" t="s">
        <v>525</v>
      </c>
      <c r="E22" s="245">
        <v>44221</v>
      </c>
      <c r="F22" s="247" t="s">
        <v>209</v>
      </c>
      <c r="G22" s="250" t="s">
        <v>541</v>
      </c>
      <c r="H22" s="332">
        <v>27858289</v>
      </c>
      <c r="I22" s="332">
        <v>0</v>
      </c>
      <c r="J22" s="101">
        <f t="shared" si="0"/>
        <v>27858289</v>
      </c>
      <c r="K22" s="250" t="s">
        <v>316</v>
      </c>
      <c r="L22" s="94"/>
      <c r="M22" s="344">
        <f>IF(AND(J22=0,K22=Nguyen_nhan!$B$3),"Đúng",IF(AND(J22&lt;&gt;0,K22=Nguyen_nhan!$B$3),"Sai",""))</f>
      </c>
    </row>
    <row r="23" spans="1:13" s="117" customFormat="1" ht="34.5" customHeight="1">
      <c r="A23" s="228">
        <v>13</v>
      </c>
      <c r="B23" s="246" t="s">
        <v>542</v>
      </c>
      <c r="C23" s="245">
        <v>42905</v>
      </c>
      <c r="D23" s="246" t="s">
        <v>528</v>
      </c>
      <c r="E23" s="245">
        <v>43055</v>
      </c>
      <c r="F23" s="247" t="s">
        <v>30</v>
      </c>
      <c r="G23" s="250" t="s">
        <v>441</v>
      </c>
      <c r="H23" s="332">
        <v>22689183</v>
      </c>
      <c r="I23" s="332">
        <v>0</v>
      </c>
      <c r="J23" s="101">
        <f t="shared" si="0"/>
        <v>22689183</v>
      </c>
      <c r="K23" s="250" t="s">
        <v>197</v>
      </c>
      <c r="L23" s="94"/>
      <c r="M23" s="344">
        <f>IF(AND(J23=0,K23=Nguyen_nhan!$B$3),"Đúng",IF(AND(J23&lt;&gt;0,K23=Nguyen_nhan!$B$3),"Sai",""))</f>
      </c>
    </row>
    <row r="24" spans="1:13" s="117" customFormat="1" ht="34.5" customHeight="1">
      <c r="A24" s="228">
        <v>14</v>
      </c>
      <c r="B24" s="246" t="s">
        <v>543</v>
      </c>
      <c r="C24" s="245">
        <v>44102</v>
      </c>
      <c r="D24" s="246" t="s">
        <v>527</v>
      </c>
      <c r="E24" s="245">
        <v>44174</v>
      </c>
      <c r="F24" s="247" t="s">
        <v>52</v>
      </c>
      <c r="G24" s="250" t="s">
        <v>544</v>
      </c>
      <c r="H24" s="332">
        <v>253700</v>
      </c>
      <c r="I24" s="332">
        <v>60000</v>
      </c>
      <c r="J24" s="101">
        <f t="shared" si="0"/>
        <v>193700</v>
      </c>
      <c r="K24" s="250" t="s">
        <v>316</v>
      </c>
      <c r="L24" s="94"/>
      <c r="M24" s="344">
        <f>IF(AND(J24=0,K24=Nguyen_nhan!$B$3),"Đúng",IF(AND(J24&lt;&gt;0,K24=Nguyen_nhan!$B$3),"Sai",""))</f>
      </c>
    </row>
    <row r="25" spans="1:13" s="117" customFormat="1" ht="34.5" customHeight="1">
      <c r="A25" s="228">
        <v>15</v>
      </c>
      <c r="B25" s="246" t="s">
        <v>545</v>
      </c>
      <c r="C25" s="245">
        <v>44244</v>
      </c>
      <c r="D25" s="246" t="s">
        <v>546</v>
      </c>
      <c r="E25" s="245">
        <v>44270</v>
      </c>
      <c r="F25" s="247" t="s">
        <v>52</v>
      </c>
      <c r="G25" s="250" t="s">
        <v>397</v>
      </c>
      <c r="H25" s="332">
        <v>569722</v>
      </c>
      <c r="I25" s="332">
        <v>0</v>
      </c>
      <c r="J25" s="101">
        <f t="shared" si="0"/>
        <v>569722</v>
      </c>
      <c r="K25" s="250" t="s">
        <v>316</v>
      </c>
      <c r="L25" s="94"/>
      <c r="M25" s="344">
        <f>IF(AND(J25=0,K25=Nguyen_nhan!$B$3),"Đúng",IF(AND(J25&lt;&gt;0,K25=Nguyen_nhan!$B$3),"Sai",""))</f>
      </c>
    </row>
    <row r="26" spans="1:13" s="117" customFormat="1" ht="34.5" customHeight="1">
      <c r="A26" s="228">
        <v>16</v>
      </c>
      <c r="B26" s="246" t="s">
        <v>547</v>
      </c>
      <c r="C26" s="245">
        <v>44200</v>
      </c>
      <c r="D26" s="246" t="s">
        <v>548</v>
      </c>
      <c r="E26" s="245">
        <v>44326</v>
      </c>
      <c r="F26" s="247" t="s">
        <v>53</v>
      </c>
      <c r="G26" s="250" t="s">
        <v>549</v>
      </c>
      <c r="H26" s="332">
        <v>646714</v>
      </c>
      <c r="I26" s="332">
        <f>245147+162523</f>
        <v>407670</v>
      </c>
      <c r="J26" s="101">
        <f t="shared" si="0"/>
        <v>239044</v>
      </c>
      <c r="K26" s="250" t="s">
        <v>316</v>
      </c>
      <c r="L26" s="94"/>
      <c r="M26" s="344">
        <f>IF(AND(J26=0,K26=Nguyen_nhan!$B$3),"Đúng",IF(AND(J26&lt;&gt;0,K26=Nguyen_nhan!$B$3),"Sai",""))</f>
      </c>
    </row>
    <row r="27" spans="1:13" s="117" customFormat="1" ht="34.5" customHeight="1">
      <c r="A27" s="228">
        <v>17</v>
      </c>
      <c r="B27" s="246" t="s">
        <v>535</v>
      </c>
      <c r="C27" s="245">
        <v>44284</v>
      </c>
      <c r="D27" s="246" t="s">
        <v>550</v>
      </c>
      <c r="E27" s="245">
        <v>44326</v>
      </c>
      <c r="F27" s="247" t="s">
        <v>52</v>
      </c>
      <c r="G27" s="250" t="s">
        <v>551</v>
      </c>
      <c r="H27" s="332">
        <v>1069736</v>
      </c>
      <c r="I27" s="332">
        <v>546641</v>
      </c>
      <c r="J27" s="101">
        <f t="shared" si="0"/>
        <v>523095</v>
      </c>
      <c r="K27" s="250" t="s">
        <v>316</v>
      </c>
      <c r="L27" s="94"/>
      <c r="M27" s="344">
        <f>IF(AND(J27=0,K27=Nguyen_nhan!$B$3),"Đúng",IF(AND(J27&lt;&gt;0,K27=Nguyen_nhan!$B$3),"Sai",""))</f>
      </c>
    </row>
    <row r="28" spans="1:13" s="117" customFormat="1" ht="34.5" customHeight="1">
      <c r="A28" s="228">
        <v>18</v>
      </c>
      <c r="B28" s="246" t="s">
        <v>552</v>
      </c>
      <c r="C28" s="245">
        <v>44223</v>
      </c>
      <c r="D28" s="246" t="s">
        <v>553</v>
      </c>
      <c r="E28" s="245">
        <v>44321</v>
      </c>
      <c r="F28" s="247" t="s">
        <v>212</v>
      </c>
      <c r="G28" s="250" t="s">
        <v>554</v>
      </c>
      <c r="H28" s="332">
        <v>1487935</v>
      </c>
      <c r="I28" s="332">
        <v>732513</v>
      </c>
      <c r="J28" s="101">
        <f t="shared" si="0"/>
        <v>755422</v>
      </c>
      <c r="K28" s="250" t="s">
        <v>316</v>
      </c>
      <c r="L28" s="94"/>
      <c r="M28" s="344">
        <f>IF(AND(J28=0,K28=Nguyen_nhan!$B$3),"Đúng",IF(AND(J28&lt;&gt;0,K28=Nguyen_nhan!$B$3),"Sai",""))</f>
      </c>
    </row>
    <row r="29" spans="1:13" s="117" customFormat="1" ht="34.5" customHeight="1">
      <c r="A29" s="228">
        <v>19</v>
      </c>
      <c r="B29" s="246" t="s">
        <v>547</v>
      </c>
      <c r="C29" s="245">
        <v>44235</v>
      </c>
      <c r="D29" s="246" t="s">
        <v>555</v>
      </c>
      <c r="E29" s="245">
        <v>44321</v>
      </c>
      <c r="F29" s="247" t="s">
        <v>212</v>
      </c>
      <c r="G29" s="250" t="s">
        <v>556</v>
      </c>
      <c r="H29" s="332">
        <f>796178+111082</f>
        <v>907260</v>
      </c>
      <c r="I29" s="332">
        <v>907260</v>
      </c>
      <c r="J29" s="101">
        <f t="shared" si="0"/>
        <v>0</v>
      </c>
      <c r="K29" s="250" t="s">
        <v>203</v>
      </c>
      <c r="L29" s="94"/>
      <c r="M29" s="344" t="str">
        <f>IF(AND(J29=0,K29=Nguyen_nhan!$B$3),"Đúng",IF(AND(J29&lt;&gt;0,K29=Nguyen_nhan!$B$3),"Sai",""))</f>
        <v>Đúng</v>
      </c>
    </row>
    <row r="30" spans="1:13" s="117" customFormat="1" ht="34.5" customHeight="1">
      <c r="A30" s="228">
        <v>20</v>
      </c>
      <c r="B30" s="246" t="s">
        <v>557</v>
      </c>
      <c r="C30" s="245">
        <v>44302</v>
      </c>
      <c r="D30" s="246" t="s">
        <v>558</v>
      </c>
      <c r="E30" s="245">
        <v>44354</v>
      </c>
      <c r="F30" s="247" t="s">
        <v>43</v>
      </c>
      <c r="G30" s="250" t="s">
        <v>559</v>
      </c>
      <c r="H30" s="332">
        <v>584864</v>
      </c>
      <c r="I30" s="332">
        <f>418517+9854</f>
        <v>428371</v>
      </c>
      <c r="J30" s="101">
        <f t="shared" si="0"/>
        <v>156493</v>
      </c>
      <c r="K30" s="250" t="s">
        <v>316</v>
      </c>
      <c r="L30" s="94"/>
      <c r="M30" s="344">
        <f>IF(AND(J30=0,K30=Nguyen_nhan!$B$3),"Đúng",IF(AND(J30&lt;&gt;0,K30=Nguyen_nhan!$B$3),"Sai",""))</f>
      </c>
    </row>
    <row r="31" spans="1:13" s="117" customFormat="1" ht="34.5" customHeight="1">
      <c r="A31" s="228">
        <v>21</v>
      </c>
      <c r="B31" s="246" t="s">
        <v>560</v>
      </c>
      <c r="C31" s="245">
        <v>44299</v>
      </c>
      <c r="D31" s="246" t="s">
        <v>561</v>
      </c>
      <c r="E31" s="245">
        <v>44354</v>
      </c>
      <c r="F31" s="247" t="s">
        <v>36</v>
      </c>
      <c r="G31" s="250" t="s">
        <v>562</v>
      </c>
      <c r="H31" s="332">
        <v>2114579</v>
      </c>
      <c r="I31" s="332">
        <v>961038</v>
      </c>
      <c r="J31" s="101">
        <f t="shared" si="0"/>
        <v>1153541</v>
      </c>
      <c r="K31" s="250" t="s">
        <v>196</v>
      </c>
      <c r="L31" s="94"/>
      <c r="M31" s="344">
        <f>IF(AND(J31=0,K31=Nguyen_nhan!$B$3),"Đúng",IF(AND(J31&lt;&gt;0,K31=Nguyen_nhan!$B$3),"Sai",""))</f>
      </c>
    </row>
    <row r="32" spans="1:13" s="117" customFormat="1" ht="34.5" customHeight="1">
      <c r="A32" s="228">
        <v>22</v>
      </c>
      <c r="B32" s="246" t="s">
        <v>563</v>
      </c>
      <c r="C32" s="245">
        <v>44309</v>
      </c>
      <c r="D32" s="246" t="s">
        <v>564</v>
      </c>
      <c r="E32" s="245">
        <v>44354</v>
      </c>
      <c r="F32" s="247" t="s">
        <v>52</v>
      </c>
      <c r="G32" s="250" t="s">
        <v>565</v>
      </c>
      <c r="H32" s="332">
        <v>714281</v>
      </c>
      <c r="I32" s="332">
        <v>550661</v>
      </c>
      <c r="J32" s="101">
        <f t="shared" si="0"/>
        <v>163620</v>
      </c>
      <c r="K32" s="250" t="s">
        <v>316</v>
      </c>
      <c r="L32" s="94"/>
      <c r="M32" s="344">
        <f>IF(AND(J32=0,K32=Nguyen_nhan!$B$3),"Đúng",IF(AND(J32&lt;&gt;0,K32=Nguyen_nhan!$B$3),"Sai",""))</f>
      </c>
    </row>
    <row r="33" spans="1:13" s="117" customFormat="1" ht="34.5" customHeight="1">
      <c r="A33" s="228">
        <v>23</v>
      </c>
      <c r="B33" s="246" t="s">
        <v>566</v>
      </c>
      <c r="C33" s="245">
        <v>44104</v>
      </c>
      <c r="D33" s="246" t="s">
        <v>526</v>
      </c>
      <c r="E33" s="245">
        <v>44215</v>
      </c>
      <c r="F33" s="247" t="s">
        <v>212</v>
      </c>
      <c r="G33" s="250" t="s">
        <v>567</v>
      </c>
      <c r="H33" s="332">
        <v>5245663</v>
      </c>
      <c r="I33" s="332">
        <f>2804749+149580+230000</f>
        <v>3184329</v>
      </c>
      <c r="J33" s="101">
        <f t="shared" si="0"/>
        <v>2061334</v>
      </c>
      <c r="K33" s="250" t="s">
        <v>196</v>
      </c>
      <c r="L33" s="94"/>
      <c r="M33" s="344">
        <f>IF(AND(J33=0,K33=Nguyen_nhan!$B$3),"Đúng",IF(AND(J33&lt;&gt;0,K33=Nguyen_nhan!$B$3),"Sai",""))</f>
      </c>
    </row>
    <row r="34" spans="1:13" s="117" customFormat="1" ht="34.5" customHeight="1">
      <c r="A34" s="228">
        <v>24</v>
      </c>
      <c r="B34" s="246" t="s">
        <v>547</v>
      </c>
      <c r="C34" s="245">
        <v>43945</v>
      </c>
      <c r="D34" s="246" t="s">
        <v>450</v>
      </c>
      <c r="E34" s="245">
        <v>44111</v>
      </c>
      <c r="F34" s="247" t="s">
        <v>212</v>
      </c>
      <c r="G34" s="250" t="s">
        <v>388</v>
      </c>
      <c r="H34" s="332">
        <f>2233163+2200+665163</f>
        <v>2900526</v>
      </c>
      <c r="I34" s="332">
        <v>2305146</v>
      </c>
      <c r="J34" s="101">
        <f t="shared" si="0"/>
        <v>595380</v>
      </c>
      <c r="K34" s="250" t="s">
        <v>316</v>
      </c>
      <c r="L34" s="94"/>
      <c r="M34" s="344">
        <f>IF(AND(J34=0,K34=Nguyen_nhan!$B$3),"Đúng",IF(AND(J34&lt;&gt;0,K34=Nguyen_nhan!$B$3),"Sai",""))</f>
      </c>
    </row>
    <row r="35" spans="1:13" s="117" customFormat="1" ht="34.5" customHeight="1">
      <c r="A35" s="228">
        <v>25</v>
      </c>
      <c r="B35" s="246" t="s">
        <v>680</v>
      </c>
      <c r="C35" s="245">
        <v>44544</v>
      </c>
      <c r="D35" s="246" t="s">
        <v>430</v>
      </c>
      <c r="E35" s="245">
        <v>44707</v>
      </c>
      <c r="F35" s="247" t="s">
        <v>212</v>
      </c>
      <c r="G35" s="250" t="s">
        <v>681</v>
      </c>
      <c r="H35" s="332">
        <v>7451037</v>
      </c>
      <c r="I35" s="332">
        <v>575638</v>
      </c>
      <c r="J35" s="101">
        <f t="shared" si="0"/>
        <v>6875399</v>
      </c>
      <c r="K35" s="250" t="s">
        <v>196</v>
      </c>
      <c r="L35" s="94"/>
      <c r="M35" s="344">
        <f>IF(AND(J35=0,K35=Nguyen_nhan!$B$3),"Đúng",IF(AND(J35&lt;&gt;0,K35=Nguyen_nhan!$B$3),"Sai",""))</f>
      </c>
    </row>
    <row r="36" spans="1:13" s="117" customFormat="1" ht="34.5" customHeight="1">
      <c r="A36" s="228">
        <v>26</v>
      </c>
      <c r="B36" s="246" t="s">
        <v>703</v>
      </c>
      <c r="C36" s="245">
        <v>43224</v>
      </c>
      <c r="D36" s="246" t="s">
        <v>704</v>
      </c>
      <c r="E36" s="245">
        <v>44771</v>
      </c>
      <c r="F36" s="331" t="s">
        <v>257</v>
      </c>
      <c r="G36" s="250" t="s">
        <v>705</v>
      </c>
      <c r="H36" s="332">
        <v>49099</v>
      </c>
      <c r="I36" s="332">
        <v>10000</v>
      </c>
      <c r="J36" s="101">
        <f t="shared" si="0"/>
        <v>39099</v>
      </c>
      <c r="K36" s="250" t="s">
        <v>316</v>
      </c>
      <c r="L36" s="94"/>
      <c r="M36" s="344">
        <f>IF(AND(J36=0,K36=Nguyen_nhan!$B$3),"Đúng",IF(AND(J36&lt;&gt;0,K36=Nguyen_nhan!$B$3),"Sai",""))</f>
      </c>
    </row>
    <row r="37" spans="1:13" s="117" customFormat="1" ht="34.5" customHeight="1">
      <c r="A37" s="228">
        <v>27</v>
      </c>
      <c r="B37" s="246" t="s">
        <v>822</v>
      </c>
      <c r="C37" s="245">
        <v>44905</v>
      </c>
      <c r="D37" s="246" t="s">
        <v>823</v>
      </c>
      <c r="E37" s="245">
        <v>45112</v>
      </c>
      <c r="F37" s="331" t="s">
        <v>257</v>
      </c>
      <c r="G37" s="250" t="s">
        <v>824</v>
      </c>
      <c r="H37" s="332">
        <v>32374</v>
      </c>
      <c r="I37" s="332">
        <v>0</v>
      </c>
      <c r="J37" s="101">
        <f t="shared" si="0"/>
        <v>32374</v>
      </c>
      <c r="K37" s="250" t="s">
        <v>196</v>
      </c>
      <c r="L37" s="94"/>
      <c r="M37" s="344">
        <f>IF(AND(J37=0,K37=Nguyen_nhan!$B$3),"Đúng",IF(AND(J37&lt;&gt;0,K37=Nguyen_nhan!$B$3),"Sai",""))</f>
      </c>
    </row>
    <row r="38" spans="1:13" s="127" customFormat="1" ht="34.5" customHeight="1">
      <c r="A38" s="181" t="s">
        <v>1</v>
      </c>
      <c r="B38" s="353" t="s">
        <v>325</v>
      </c>
      <c r="C38" s="354"/>
      <c r="D38" s="191"/>
      <c r="E38" s="192"/>
      <c r="F38" s="193"/>
      <c r="G38" s="194"/>
      <c r="H38" s="187"/>
      <c r="I38" s="187"/>
      <c r="J38" s="187"/>
      <c r="K38" s="195"/>
      <c r="L38" s="196"/>
      <c r="M38" s="344">
        <f>IF(AND(J38=0,K38=Nguyen_nhan!$B$3),"Đúng",IF(AND(J38&lt;&gt;0,K38=Nguyen_nhan!$B$3),"Sai",""))</f>
      </c>
    </row>
    <row r="39" spans="1:13" s="150" customFormat="1" ht="34.5" customHeight="1">
      <c r="A39" s="99">
        <v>1</v>
      </c>
      <c r="B39" s="100" t="s">
        <v>401</v>
      </c>
      <c r="C39" s="296">
        <v>39715</v>
      </c>
      <c r="D39" s="98" t="s">
        <v>402</v>
      </c>
      <c r="E39" s="296">
        <v>39857</v>
      </c>
      <c r="F39" s="232" t="s">
        <v>206</v>
      </c>
      <c r="G39" s="98" t="s">
        <v>403</v>
      </c>
      <c r="H39" s="301">
        <v>27452</v>
      </c>
      <c r="I39" s="301">
        <v>0</v>
      </c>
      <c r="J39" s="115">
        <f aca="true" t="shared" si="1" ref="J39:J48">H39-I39</f>
        <v>27452</v>
      </c>
      <c r="K39" s="285" t="s">
        <v>196</v>
      </c>
      <c r="L39" s="94"/>
      <c r="M39" s="344">
        <f>IF(AND(J39=0,K39=Nguyen_nhan!$B$3),"Đúng",IF(AND(J39&lt;&gt;0,K39=Nguyen_nhan!$B$3),"Sai",""))</f>
      </c>
    </row>
    <row r="40" spans="1:13" s="150" customFormat="1" ht="34.5" customHeight="1">
      <c r="A40" s="99">
        <v>2</v>
      </c>
      <c r="B40" s="312" t="s">
        <v>370</v>
      </c>
      <c r="C40" s="296">
        <v>43348</v>
      </c>
      <c r="D40" s="98" t="s">
        <v>406</v>
      </c>
      <c r="E40" s="296">
        <v>43383</v>
      </c>
      <c r="F40" s="232" t="s">
        <v>50</v>
      </c>
      <c r="G40" s="232" t="s">
        <v>407</v>
      </c>
      <c r="H40" s="304">
        <v>563366</v>
      </c>
      <c r="I40" s="304">
        <v>563366</v>
      </c>
      <c r="J40" s="115">
        <f t="shared" si="1"/>
        <v>0</v>
      </c>
      <c r="K40" s="285" t="s">
        <v>203</v>
      </c>
      <c r="L40" s="94"/>
      <c r="M40" s="344" t="str">
        <f>IF(AND(J40=0,K40=Nguyen_nhan!$B$3),"Đúng",IF(AND(J40&lt;&gt;0,K40=Nguyen_nhan!$B$3),"Sai",""))</f>
        <v>Đúng</v>
      </c>
    </row>
    <row r="41" spans="1:13" s="150" customFormat="1" ht="34.5" customHeight="1">
      <c r="A41" s="99">
        <v>3</v>
      </c>
      <c r="B41" s="100" t="s">
        <v>357</v>
      </c>
      <c r="C41" s="296">
        <v>43413</v>
      </c>
      <c r="D41" s="98" t="s">
        <v>408</v>
      </c>
      <c r="E41" s="296">
        <v>43566</v>
      </c>
      <c r="F41" s="232" t="s">
        <v>50</v>
      </c>
      <c r="G41" s="232" t="s">
        <v>409</v>
      </c>
      <c r="H41" s="305">
        <v>28498</v>
      </c>
      <c r="I41" s="301">
        <v>0</v>
      </c>
      <c r="J41" s="115">
        <f t="shared" si="1"/>
        <v>28498</v>
      </c>
      <c r="K41" s="285" t="s">
        <v>316</v>
      </c>
      <c r="L41" s="94"/>
      <c r="M41" s="344">
        <f>IF(AND(J41=0,K41=Nguyen_nhan!$B$3),"Đúng",IF(AND(J41&lt;&gt;0,K41=Nguyen_nhan!$B$3),"Sai",""))</f>
      </c>
    </row>
    <row r="42" spans="1:13" s="150" customFormat="1" ht="34.5" customHeight="1">
      <c r="A42" s="99">
        <v>4</v>
      </c>
      <c r="B42" s="100" t="s">
        <v>410</v>
      </c>
      <c r="C42" s="296">
        <v>43615</v>
      </c>
      <c r="D42" s="98" t="s">
        <v>411</v>
      </c>
      <c r="E42" s="296">
        <v>43627</v>
      </c>
      <c r="F42" s="232" t="s">
        <v>27</v>
      </c>
      <c r="G42" s="306" t="s">
        <v>412</v>
      </c>
      <c r="H42" s="307">
        <v>53365</v>
      </c>
      <c r="I42" s="301">
        <v>0</v>
      </c>
      <c r="J42" s="115">
        <f t="shared" si="1"/>
        <v>53365</v>
      </c>
      <c r="K42" s="285" t="s">
        <v>196</v>
      </c>
      <c r="L42" s="94"/>
      <c r="M42" s="344">
        <f>IF(AND(J42=0,K42=Nguyen_nhan!$B$3),"Đúng",IF(AND(J42&lt;&gt;0,K42=Nguyen_nhan!$B$3),"Sai",""))</f>
      </c>
    </row>
    <row r="43" spans="1:13" s="150" customFormat="1" ht="34.5" customHeight="1">
      <c r="A43" s="99">
        <v>5</v>
      </c>
      <c r="B43" s="313" t="s">
        <v>373</v>
      </c>
      <c r="C43" s="296">
        <v>43619</v>
      </c>
      <c r="D43" s="98" t="s">
        <v>413</v>
      </c>
      <c r="E43" s="296">
        <v>43670</v>
      </c>
      <c r="F43" s="232" t="s">
        <v>50</v>
      </c>
      <c r="G43" s="306" t="s">
        <v>414</v>
      </c>
      <c r="H43" s="308">
        <v>541361</v>
      </c>
      <c r="I43" s="304">
        <v>0</v>
      </c>
      <c r="J43" s="115">
        <f t="shared" si="1"/>
        <v>541361</v>
      </c>
      <c r="K43" s="285" t="s">
        <v>316</v>
      </c>
      <c r="L43" s="94"/>
      <c r="M43" s="344">
        <f>IF(AND(J43=0,K43=Nguyen_nhan!$B$3),"Đúng",IF(AND(J43&lt;&gt;0,K43=Nguyen_nhan!$B$3),"Sai",""))</f>
      </c>
    </row>
    <row r="44" spans="1:13" s="150" customFormat="1" ht="34.5" customHeight="1">
      <c r="A44" s="99">
        <v>6</v>
      </c>
      <c r="B44" s="314">
        <v>17</v>
      </c>
      <c r="C44" s="296">
        <v>43549</v>
      </c>
      <c r="D44" s="98" t="s">
        <v>415</v>
      </c>
      <c r="E44" s="296">
        <v>43649</v>
      </c>
      <c r="F44" s="232" t="s">
        <v>55</v>
      </c>
      <c r="G44" s="232" t="s">
        <v>416</v>
      </c>
      <c r="H44" s="308">
        <v>65929</v>
      </c>
      <c r="I44" s="304">
        <v>0</v>
      </c>
      <c r="J44" s="115">
        <f t="shared" si="1"/>
        <v>65929</v>
      </c>
      <c r="K44" s="285" t="s">
        <v>196</v>
      </c>
      <c r="L44" s="94"/>
      <c r="M44" s="344">
        <f>IF(AND(J44=0,K44=Nguyen_nhan!$B$3),"Đúng",IF(AND(J44&lt;&gt;0,K44=Nguyen_nhan!$B$3),"Sai",""))</f>
      </c>
    </row>
    <row r="45" spans="1:13" s="150" customFormat="1" ht="34.5" customHeight="1">
      <c r="A45" s="99">
        <v>7</v>
      </c>
      <c r="B45" s="100" t="s">
        <v>373</v>
      </c>
      <c r="C45" s="296">
        <v>43957</v>
      </c>
      <c r="D45" s="98" t="s">
        <v>417</v>
      </c>
      <c r="E45" s="296">
        <v>44006</v>
      </c>
      <c r="F45" s="232" t="s">
        <v>206</v>
      </c>
      <c r="G45" s="232" t="s">
        <v>418</v>
      </c>
      <c r="H45" s="304">
        <v>78104</v>
      </c>
      <c r="I45" s="309">
        <v>78104</v>
      </c>
      <c r="J45" s="115">
        <f t="shared" si="1"/>
        <v>0</v>
      </c>
      <c r="K45" s="285" t="s">
        <v>203</v>
      </c>
      <c r="L45" s="94"/>
      <c r="M45" s="344" t="str">
        <f>IF(AND(J45=0,K45=Nguyen_nhan!$B$3),"Đúng",IF(AND(J45&lt;&gt;0,K45=Nguyen_nhan!$B$3),"Sai",""))</f>
        <v>Đúng</v>
      </c>
    </row>
    <row r="46" spans="1:13" s="150" customFormat="1" ht="34.5" customHeight="1">
      <c r="A46" s="99">
        <v>8</v>
      </c>
      <c r="B46" s="312" t="s">
        <v>349</v>
      </c>
      <c r="C46" s="296">
        <v>43882</v>
      </c>
      <c r="D46" s="98" t="s">
        <v>419</v>
      </c>
      <c r="E46" s="296">
        <v>43908</v>
      </c>
      <c r="F46" s="232" t="s">
        <v>35</v>
      </c>
      <c r="G46" s="98" t="s">
        <v>420</v>
      </c>
      <c r="H46" s="297">
        <v>1188265</v>
      </c>
      <c r="I46" s="297">
        <v>0</v>
      </c>
      <c r="J46" s="115">
        <f t="shared" si="1"/>
        <v>1188265</v>
      </c>
      <c r="K46" s="285" t="s">
        <v>196</v>
      </c>
      <c r="L46" s="94"/>
      <c r="M46" s="344">
        <f>IF(AND(J46=0,K46=Nguyen_nhan!$B$3),"Đúng",IF(AND(J46&lt;&gt;0,K46=Nguyen_nhan!$B$3),"Sai",""))</f>
      </c>
    </row>
    <row r="47" spans="1:13" s="150" customFormat="1" ht="34.5" customHeight="1">
      <c r="A47" s="99">
        <v>9</v>
      </c>
      <c r="B47" s="100">
        <v>12</v>
      </c>
      <c r="C47" s="296">
        <v>44042</v>
      </c>
      <c r="D47" s="98" t="s">
        <v>422</v>
      </c>
      <c r="E47" s="296">
        <v>44137</v>
      </c>
      <c r="F47" s="232" t="s">
        <v>43</v>
      </c>
      <c r="G47" s="98" t="s">
        <v>423</v>
      </c>
      <c r="H47" s="297">
        <v>23733</v>
      </c>
      <c r="I47" s="297">
        <v>23733</v>
      </c>
      <c r="J47" s="115">
        <f t="shared" si="1"/>
        <v>0</v>
      </c>
      <c r="K47" s="285" t="s">
        <v>203</v>
      </c>
      <c r="L47" s="94"/>
      <c r="M47" s="344" t="str">
        <f>IF(AND(J47=0,K47=Nguyen_nhan!$B$3),"Đúng",IF(AND(J47&lt;&gt;0,K47=Nguyen_nhan!$B$3),"Sai",""))</f>
        <v>Đúng</v>
      </c>
    </row>
    <row r="48" spans="1:13" s="150" customFormat="1" ht="34.5" customHeight="1">
      <c r="A48" s="99">
        <v>10</v>
      </c>
      <c r="B48" s="100">
        <v>67</v>
      </c>
      <c r="C48" s="296">
        <v>44091</v>
      </c>
      <c r="D48" s="98" t="s">
        <v>424</v>
      </c>
      <c r="E48" s="296">
        <v>44147</v>
      </c>
      <c r="F48" s="232" t="s">
        <v>49</v>
      </c>
      <c r="G48" s="98" t="s">
        <v>425</v>
      </c>
      <c r="H48" s="297">
        <v>15088</v>
      </c>
      <c r="I48" s="297">
        <v>15088</v>
      </c>
      <c r="J48" s="115">
        <f t="shared" si="1"/>
        <v>0</v>
      </c>
      <c r="K48" s="285" t="s">
        <v>203</v>
      </c>
      <c r="L48" s="94"/>
      <c r="M48" s="344" t="str">
        <f>IF(AND(J48=0,K48=Nguyen_nhan!$B$3),"Đúng",IF(AND(J48&lt;&gt;0,K48=Nguyen_nhan!$B$3),"Sai",""))</f>
        <v>Đúng</v>
      </c>
    </row>
    <row r="49" spans="1:13" s="150" customFormat="1" ht="34.5" customHeight="1">
      <c r="A49" s="99">
        <v>11</v>
      </c>
      <c r="B49" s="312" t="s">
        <v>350</v>
      </c>
      <c r="C49" s="296">
        <v>43784</v>
      </c>
      <c r="D49" s="98" t="s">
        <v>426</v>
      </c>
      <c r="E49" s="296">
        <v>44211</v>
      </c>
      <c r="F49" s="232" t="s">
        <v>52</v>
      </c>
      <c r="G49" s="98" t="s">
        <v>427</v>
      </c>
      <c r="H49" s="297">
        <v>561390</v>
      </c>
      <c r="I49" s="297">
        <v>0</v>
      </c>
      <c r="J49" s="115">
        <f>H49-I49</f>
        <v>561390</v>
      </c>
      <c r="K49" s="285" t="s">
        <v>196</v>
      </c>
      <c r="L49" s="94"/>
      <c r="M49" s="344">
        <f>IF(AND(J49=0,K49=Nguyen_nhan!$B$3),"Đúng",IF(AND(J49&lt;&gt;0,K49=Nguyen_nhan!$B$3),"Sai",""))</f>
      </c>
    </row>
    <row r="50" spans="1:13" s="150" customFormat="1" ht="34.5" customHeight="1">
      <c r="A50" s="99">
        <v>12</v>
      </c>
      <c r="B50" s="100">
        <v>64</v>
      </c>
      <c r="C50" s="296">
        <v>44075</v>
      </c>
      <c r="D50" s="98" t="s">
        <v>612</v>
      </c>
      <c r="E50" s="296">
        <v>44383</v>
      </c>
      <c r="F50" s="232" t="s">
        <v>49</v>
      </c>
      <c r="G50" s="98" t="s">
        <v>613</v>
      </c>
      <c r="H50" s="297">
        <v>18535</v>
      </c>
      <c r="I50" s="297">
        <v>18535</v>
      </c>
      <c r="J50" s="115">
        <f>H50-I50</f>
        <v>0</v>
      </c>
      <c r="K50" s="285" t="s">
        <v>203</v>
      </c>
      <c r="L50" s="94"/>
      <c r="M50" s="344" t="str">
        <f>IF(AND(J50=0,K50=Nguyen_nhan!$B$3),"Đúng",IF(AND(J50&lt;&gt;0,K50=Nguyen_nhan!$B$3),"Sai",""))</f>
        <v>Đúng</v>
      </c>
    </row>
    <row r="51" spans="1:13" s="150" customFormat="1" ht="34.5" customHeight="1">
      <c r="A51" s="99">
        <v>13</v>
      </c>
      <c r="B51" s="312" t="s">
        <v>351</v>
      </c>
      <c r="C51" s="296">
        <v>44230</v>
      </c>
      <c r="D51" s="98" t="s">
        <v>614</v>
      </c>
      <c r="E51" s="296">
        <v>44392</v>
      </c>
      <c r="F51" s="232" t="s">
        <v>49</v>
      </c>
      <c r="G51" s="98" t="s">
        <v>615</v>
      </c>
      <c r="H51" s="297">
        <v>34121</v>
      </c>
      <c r="I51" s="297">
        <v>0</v>
      </c>
      <c r="J51" s="115">
        <f>H51-I51</f>
        <v>34121</v>
      </c>
      <c r="K51" s="285" t="s">
        <v>196</v>
      </c>
      <c r="L51" s="94"/>
      <c r="M51" s="344">
        <f>IF(AND(J51=0,K51=Nguyen_nhan!$B$3),"Đúng",IF(AND(J51&lt;&gt;0,K51=Nguyen_nhan!$B$3),"Sai",""))</f>
      </c>
    </row>
    <row r="52" spans="1:13" s="150" customFormat="1" ht="34.5" customHeight="1">
      <c r="A52" s="99">
        <v>14</v>
      </c>
      <c r="B52" s="312" t="s">
        <v>433</v>
      </c>
      <c r="C52" s="296">
        <v>44236</v>
      </c>
      <c r="D52" s="98" t="s">
        <v>616</v>
      </c>
      <c r="E52" s="296">
        <v>44400</v>
      </c>
      <c r="F52" s="232" t="s">
        <v>49</v>
      </c>
      <c r="G52" s="98" t="s">
        <v>617</v>
      </c>
      <c r="H52" s="297">
        <v>33207</v>
      </c>
      <c r="I52" s="297">
        <v>0</v>
      </c>
      <c r="J52" s="115">
        <f aca="true" t="shared" si="2" ref="J52:J67">H52-I52</f>
        <v>33207</v>
      </c>
      <c r="K52" s="285" t="s">
        <v>316</v>
      </c>
      <c r="L52" s="94"/>
      <c r="M52" s="344">
        <f>IF(AND(J52=0,K52=Nguyen_nhan!$B$3),"Đúng",IF(AND(J52&lt;&gt;0,K52=Nguyen_nhan!$B$3),"Sai",""))</f>
      </c>
    </row>
    <row r="53" spans="1:13" s="150" customFormat="1" ht="34.5" customHeight="1">
      <c r="A53" s="99">
        <v>15</v>
      </c>
      <c r="B53" s="100" t="s">
        <v>633</v>
      </c>
      <c r="C53" s="296">
        <v>44363</v>
      </c>
      <c r="D53" s="98" t="s">
        <v>634</v>
      </c>
      <c r="E53" s="296">
        <v>44411</v>
      </c>
      <c r="F53" s="232" t="s">
        <v>49</v>
      </c>
      <c r="G53" s="98" t="s">
        <v>635</v>
      </c>
      <c r="H53" s="298">
        <v>142386</v>
      </c>
      <c r="I53" s="298">
        <v>142386</v>
      </c>
      <c r="J53" s="115">
        <f t="shared" si="2"/>
        <v>0</v>
      </c>
      <c r="K53" s="285" t="s">
        <v>204</v>
      </c>
      <c r="L53" s="94"/>
      <c r="M53" s="344">
        <f>IF(AND(J53=0,K53=Nguyen_nhan!$B$3),"Đúng",IF(AND(J53&lt;&gt;0,K53=Nguyen_nhan!$B$3),"Sai",""))</f>
      </c>
    </row>
    <row r="54" spans="1:13" s="150" customFormat="1" ht="34.5" customHeight="1">
      <c r="A54" s="99">
        <v>16</v>
      </c>
      <c r="B54" s="315" t="s">
        <v>359</v>
      </c>
      <c r="C54" s="296">
        <v>42909</v>
      </c>
      <c r="D54" s="98" t="s">
        <v>428</v>
      </c>
      <c r="E54" s="296">
        <v>43192</v>
      </c>
      <c r="F54" s="232" t="s">
        <v>53</v>
      </c>
      <c r="G54" s="100" t="s">
        <v>429</v>
      </c>
      <c r="H54" s="299">
        <v>266927</v>
      </c>
      <c r="I54" s="297">
        <f>69002+21500</f>
        <v>90502</v>
      </c>
      <c r="J54" s="115">
        <f t="shared" si="2"/>
        <v>176425</v>
      </c>
      <c r="K54" s="285" t="s">
        <v>196</v>
      </c>
      <c r="L54" s="94"/>
      <c r="M54" s="344">
        <f>IF(AND(J54=0,K54=Nguyen_nhan!$B$3),"Đúng",IF(AND(J54&lt;&gt;0,K54=Nguyen_nhan!$B$3),"Sai",""))</f>
      </c>
    </row>
    <row r="55" spans="1:13" s="150" customFormat="1" ht="34.5" customHeight="1">
      <c r="A55" s="99">
        <v>17</v>
      </c>
      <c r="B55" s="100" t="s">
        <v>430</v>
      </c>
      <c r="C55" s="296">
        <v>43250</v>
      </c>
      <c r="D55" s="98" t="s">
        <v>431</v>
      </c>
      <c r="E55" s="296">
        <v>43375</v>
      </c>
      <c r="F55" s="232" t="s">
        <v>55</v>
      </c>
      <c r="G55" s="98" t="s">
        <v>432</v>
      </c>
      <c r="H55" s="297">
        <v>2840</v>
      </c>
      <c r="I55" s="297">
        <v>0</v>
      </c>
      <c r="J55" s="115">
        <f t="shared" si="2"/>
        <v>2840</v>
      </c>
      <c r="K55" s="285" t="s">
        <v>196</v>
      </c>
      <c r="L55" s="94"/>
      <c r="M55" s="344">
        <f>IF(AND(J55=0,K55=Nguyen_nhan!$B$3),"Đúng",IF(AND(J55&lt;&gt;0,K55=Nguyen_nhan!$B$3),"Sai",""))</f>
      </c>
    </row>
    <row r="56" spans="1:13" s="150" customFormat="1" ht="34.5" customHeight="1">
      <c r="A56" s="99">
        <v>18</v>
      </c>
      <c r="B56" s="100" t="s">
        <v>357</v>
      </c>
      <c r="C56" s="296">
        <v>43538</v>
      </c>
      <c r="D56" s="98" t="s">
        <v>434</v>
      </c>
      <c r="E56" s="296">
        <v>43636</v>
      </c>
      <c r="F56" s="232" t="s">
        <v>27</v>
      </c>
      <c r="G56" s="98" t="s">
        <v>435</v>
      </c>
      <c r="H56" s="297">
        <v>3605</v>
      </c>
      <c r="I56" s="297">
        <v>500</v>
      </c>
      <c r="J56" s="115">
        <f t="shared" si="2"/>
        <v>3105</v>
      </c>
      <c r="K56" s="285" t="s">
        <v>316</v>
      </c>
      <c r="L56" s="94"/>
      <c r="M56" s="344">
        <f>IF(AND(J56=0,K56=Nguyen_nhan!$B$3),"Đúng",IF(AND(J56&lt;&gt;0,K56=Nguyen_nhan!$B$3),"Sai",""))</f>
      </c>
    </row>
    <row r="57" spans="1:13" s="150" customFormat="1" ht="34.5" customHeight="1">
      <c r="A57" s="99">
        <v>19</v>
      </c>
      <c r="B57" s="100" t="s">
        <v>445</v>
      </c>
      <c r="C57" s="296">
        <v>44693</v>
      </c>
      <c r="D57" s="98" t="s">
        <v>710</v>
      </c>
      <c r="E57" s="296">
        <v>44788</v>
      </c>
      <c r="F57" s="232" t="s">
        <v>206</v>
      </c>
      <c r="G57" s="100" t="s">
        <v>711</v>
      </c>
      <c r="H57" s="299">
        <v>48625</v>
      </c>
      <c r="I57" s="299">
        <v>0</v>
      </c>
      <c r="J57" s="115">
        <f t="shared" si="2"/>
        <v>48625</v>
      </c>
      <c r="K57" s="285" t="s">
        <v>316</v>
      </c>
      <c r="L57" s="94"/>
      <c r="M57" s="344">
        <f>IF(AND(J57=0,K57=Nguyen_nhan!$B$3),"Đúng",IF(AND(J57&lt;&gt;0,K57=Nguyen_nhan!$B$3),"Sai",""))</f>
      </c>
    </row>
    <row r="58" spans="1:13" s="150" customFormat="1" ht="34.5" customHeight="1">
      <c r="A58" s="99">
        <v>20</v>
      </c>
      <c r="B58" s="312" t="s">
        <v>351</v>
      </c>
      <c r="C58" s="318">
        <v>45035</v>
      </c>
      <c r="D58" s="232">
        <v>760</v>
      </c>
      <c r="E58" s="275">
        <v>45071</v>
      </c>
      <c r="F58" s="232" t="s">
        <v>212</v>
      </c>
      <c r="G58" s="100" t="s">
        <v>793</v>
      </c>
      <c r="H58" s="299">
        <f>3223763+3000</f>
        <v>3226763</v>
      </c>
      <c r="I58" s="299">
        <v>0</v>
      </c>
      <c r="J58" s="101">
        <f t="shared" si="2"/>
        <v>3226763</v>
      </c>
      <c r="K58" s="285" t="s">
        <v>196</v>
      </c>
      <c r="L58" s="94"/>
      <c r="M58" s="344">
        <f>IF(AND(J58=0,K58=Nguyen_nhan!$B$3),"Đúng",IF(AND(J58&lt;&gt;0,K58=Nguyen_nhan!$B$3),"Sai",""))</f>
      </c>
    </row>
    <row r="59" spans="1:13" s="150" customFormat="1" ht="34.5" customHeight="1">
      <c r="A59" s="99">
        <v>21</v>
      </c>
      <c r="B59" s="100" t="s">
        <v>373</v>
      </c>
      <c r="C59" s="296">
        <v>42905</v>
      </c>
      <c r="D59" s="98" t="s">
        <v>440</v>
      </c>
      <c r="E59" s="296">
        <v>43055</v>
      </c>
      <c r="F59" s="232" t="s">
        <v>30</v>
      </c>
      <c r="G59" s="98" t="s">
        <v>441</v>
      </c>
      <c r="H59" s="301">
        <v>1000</v>
      </c>
      <c r="I59" s="301">
        <v>0</v>
      </c>
      <c r="J59" s="101">
        <f t="shared" si="2"/>
        <v>1000</v>
      </c>
      <c r="K59" s="285" t="s">
        <v>196</v>
      </c>
      <c r="L59" s="94"/>
      <c r="M59" s="344">
        <f>IF(AND(J59=0,K59=Nguyen_nhan!$B$3),"Đúng",IF(AND(J59&lt;&gt;0,K59=Nguyen_nhan!$B$3),"Sai",""))</f>
      </c>
    </row>
    <row r="60" spans="1:13" s="150" customFormat="1" ht="34.5" customHeight="1">
      <c r="A60" s="99">
        <v>22</v>
      </c>
      <c r="B60" s="100" t="s">
        <v>355</v>
      </c>
      <c r="C60" s="296">
        <v>42921</v>
      </c>
      <c r="D60" s="98" t="s">
        <v>442</v>
      </c>
      <c r="E60" s="296">
        <v>43095</v>
      </c>
      <c r="F60" s="232" t="s">
        <v>30</v>
      </c>
      <c r="G60" s="98" t="s">
        <v>443</v>
      </c>
      <c r="H60" s="307">
        <v>9200541</v>
      </c>
      <c r="I60" s="301">
        <v>0</v>
      </c>
      <c r="J60" s="101">
        <f t="shared" si="2"/>
        <v>9200541</v>
      </c>
      <c r="K60" s="285" t="s">
        <v>196</v>
      </c>
      <c r="L60" s="94"/>
      <c r="M60" s="344">
        <f>IF(AND(J60=0,K60=Nguyen_nhan!$B$3),"Đúng",IF(AND(J60&lt;&gt;0,K60=Nguyen_nhan!$B$3),"Sai",""))</f>
      </c>
    </row>
    <row r="61" spans="1:13" s="150" customFormat="1" ht="34.5" customHeight="1">
      <c r="A61" s="99">
        <v>23</v>
      </c>
      <c r="B61" s="100" t="s">
        <v>355</v>
      </c>
      <c r="C61" s="296">
        <v>42921</v>
      </c>
      <c r="D61" s="98" t="s">
        <v>444</v>
      </c>
      <c r="E61" s="296">
        <v>43095</v>
      </c>
      <c r="F61" s="232" t="s">
        <v>30</v>
      </c>
      <c r="G61" s="98" t="s">
        <v>443</v>
      </c>
      <c r="H61" s="301">
        <v>1000</v>
      </c>
      <c r="I61" s="301">
        <v>0</v>
      </c>
      <c r="J61" s="101">
        <f t="shared" si="2"/>
        <v>1000</v>
      </c>
      <c r="K61" s="285" t="s">
        <v>196</v>
      </c>
      <c r="L61" s="94"/>
      <c r="M61" s="344">
        <f>IF(AND(J61=0,K61=Nguyen_nhan!$B$3),"Đúng",IF(AND(J61&lt;&gt;0,K61=Nguyen_nhan!$B$3),"Sai",""))</f>
      </c>
    </row>
    <row r="62" spans="1:13" s="150" customFormat="1" ht="34.5" customHeight="1">
      <c r="A62" s="99">
        <v>24</v>
      </c>
      <c r="B62" s="100" t="s">
        <v>445</v>
      </c>
      <c r="C62" s="296">
        <v>42975</v>
      </c>
      <c r="D62" s="98" t="s">
        <v>446</v>
      </c>
      <c r="E62" s="296">
        <v>43074</v>
      </c>
      <c r="F62" s="232" t="s">
        <v>30</v>
      </c>
      <c r="G62" s="98" t="s">
        <v>830</v>
      </c>
      <c r="H62" s="300">
        <v>7168281</v>
      </c>
      <c r="I62" s="301">
        <v>0</v>
      </c>
      <c r="J62" s="101">
        <f t="shared" si="2"/>
        <v>7168281</v>
      </c>
      <c r="K62" s="285" t="s">
        <v>196</v>
      </c>
      <c r="L62" s="94"/>
      <c r="M62" s="344">
        <f>IF(AND(J62=0,K62=Nguyen_nhan!$B$3),"Đúng",IF(AND(J62&lt;&gt;0,K62=Nguyen_nhan!$B$3),"Sai",""))</f>
      </c>
    </row>
    <row r="63" spans="1:13" s="150" customFormat="1" ht="34.5" customHeight="1">
      <c r="A63" s="99">
        <v>25</v>
      </c>
      <c r="B63" s="100" t="s">
        <v>571</v>
      </c>
      <c r="C63" s="296">
        <v>44365</v>
      </c>
      <c r="D63" s="98" t="s">
        <v>717</v>
      </c>
      <c r="E63" s="296">
        <v>44628</v>
      </c>
      <c r="F63" s="232" t="s">
        <v>43</v>
      </c>
      <c r="G63" s="98" t="s">
        <v>718</v>
      </c>
      <c r="H63" s="297">
        <v>70812</v>
      </c>
      <c r="I63" s="298">
        <v>18000</v>
      </c>
      <c r="J63" s="101">
        <f t="shared" si="2"/>
        <v>52812</v>
      </c>
      <c r="K63" s="285" t="s">
        <v>196</v>
      </c>
      <c r="L63" s="94"/>
      <c r="M63" s="344">
        <f>IF(AND(J63=0,K63=Nguyen_nhan!$B$3),"Đúng",IF(AND(J63&lt;&gt;0,K63=Nguyen_nhan!$B$3),"Sai",""))</f>
      </c>
    </row>
    <row r="64" spans="1:13" s="150" customFormat="1" ht="34.5" customHeight="1">
      <c r="A64" s="99">
        <v>26</v>
      </c>
      <c r="B64" s="100" t="s">
        <v>355</v>
      </c>
      <c r="C64" s="296">
        <v>44834</v>
      </c>
      <c r="D64" s="98" t="s">
        <v>719</v>
      </c>
      <c r="E64" s="296">
        <v>44935</v>
      </c>
      <c r="F64" s="232" t="s">
        <v>56</v>
      </c>
      <c r="G64" s="98" t="s">
        <v>720</v>
      </c>
      <c r="H64" s="297">
        <v>4221641</v>
      </c>
      <c r="I64" s="298">
        <v>0</v>
      </c>
      <c r="J64" s="101">
        <f t="shared" si="2"/>
        <v>4221641</v>
      </c>
      <c r="K64" s="285" t="s">
        <v>196</v>
      </c>
      <c r="L64" s="94"/>
      <c r="M64" s="344">
        <f>IF(AND(J64=0,K64=Nguyen_nhan!$B$3),"Đúng",IF(AND(J64&lt;&gt;0,K64=Nguyen_nhan!$B$3),"Sai",""))</f>
      </c>
    </row>
    <row r="65" spans="1:13" s="150" customFormat="1" ht="34.5" customHeight="1">
      <c r="A65" s="99">
        <v>27</v>
      </c>
      <c r="B65" s="100" t="s">
        <v>433</v>
      </c>
      <c r="C65" s="296">
        <v>44232</v>
      </c>
      <c r="D65" s="98" t="s">
        <v>831</v>
      </c>
      <c r="E65" s="296">
        <v>45019</v>
      </c>
      <c r="F65" s="232" t="s">
        <v>49</v>
      </c>
      <c r="G65" s="98" t="s">
        <v>832</v>
      </c>
      <c r="H65" s="297">
        <v>47869</v>
      </c>
      <c r="I65" s="298">
        <v>0</v>
      </c>
      <c r="J65" s="101">
        <f t="shared" si="2"/>
        <v>47869</v>
      </c>
      <c r="K65" s="285" t="s">
        <v>316</v>
      </c>
      <c r="L65" s="94"/>
      <c r="M65" s="344">
        <f>IF(AND(J65=0,K65=Nguyen_nhan!$B$3),"Đúng",IF(AND(J65&lt;&gt;0,K65=Nguyen_nhan!$B$3),"Sai",""))</f>
      </c>
    </row>
    <row r="66" spans="1:13" s="150" customFormat="1" ht="34.5" customHeight="1">
      <c r="A66" s="99">
        <v>28</v>
      </c>
      <c r="B66" s="100" t="s">
        <v>363</v>
      </c>
      <c r="C66" s="296">
        <v>44226</v>
      </c>
      <c r="D66" s="98" t="s">
        <v>833</v>
      </c>
      <c r="E66" s="296">
        <v>44383</v>
      </c>
      <c r="F66" s="232" t="s">
        <v>27</v>
      </c>
      <c r="G66" s="98" t="s">
        <v>834</v>
      </c>
      <c r="H66" s="297">
        <v>8430</v>
      </c>
      <c r="I66" s="298">
        <v>8430</v>
      </c>
      <c r="J66" s="101">
        <f t="shared" si="2"/>
        <v>0</v>
      </c>
      <c r="K66" s="285" t="s">
        <v>203</v>
      </c>
      <c r="L66" s="94"/>
      <c r="M66" s="344" t="str">
        <f>IF(AND(J66=0,K66=Nguyen_nhan!$B$3),"Đúng",IF(AND(J66&lt;&gt;0,K66=Nguyen_nhan!$B$3),"Sai",""))</f>
        <v>Đúng</v>
      </c>
    </row>
    <row r="67" spans="1:13" s="150" customFormat="1" ht="34.5" customHeight="1">
      <c r="A67" s="99">
        <v>29</v>
      </c>
      <c r="B67" s="100" t="s">
        <v>361</v>
      </c>
      <c r="C67" s="296">
        <v>44757</v>
      </c>
      <c r="D67" s="98" t="s">
        <v>835</v>
      </c>
      <c r="E67" s="296">
        <v>44777</v>
      </c>
      <c r="F67" s="232" t="s">
        <v>43</v>
      </c>
      <c r="G67" s="98" t="s">
        <v>720</v>
      </c>
      <c r="H67" s="297">
        <v>1562926</v>
      </c>
      <c r="I67" s="298">
        <v>1562926</v>
      </c>
      <c r="J67" s="101">
        <f t="shared" si="2"/>
        <v>0</v>
      </c>
      <c r="K67" s="285" t="s">
        <v>203</v>
      </c>
      <c r="L67" s="94"/>
      <c r="M67" s="344" t="str">
        <f>IF(AND(J67=0,K67=Nguyen_nhan!$B$3),"Đúng",IF(AND(J67&lt;&gt;0,K67=Nguyen_nhan!$B$3),"Sai",""))</f>
        <v>Đúng</v>
      </c>
    </row>
    <row r="68" spans="1:13" s="150" customFormat="1" ht="34.5" customHeight="1">
      <c r="A68" s="99">
        <v>30</v>
      </c>
      <c r="B68" s="100" t="s">
        <v>353</v>
      </c>
      <c r="C68" s="296">
        <v>45091</v>
      </c>
      <c r="D68" s="98" t="s">
        <v>827</v>
      </c>
      <c r="E68" s="296">
        <v>45113</v>
      </c>
      <c r="F68" s="232" t="s">
        <v>212</v>
      </c>
      <c r="G68" s="98" t="s">
        <v>836</v>
      </c>
      <c r="H68" s="297">
        <v>848459</v>
      </c>
      <c r="I68" s="298">
        <v>0</v>
      </c>
      <c r="J68" s="101">
        <f>H68-I68</f>
        <v>848459</v>
      </c>
      <c r="K68" s="285" t="s">
        <v>196</v>
      </c>
      <c r="L68" s="94"/>
      <c r="M68" s="344">
        <f>IF(AND(J68=0,K68=Nguyen_nhan!$B$3),"Đúng",IF(AND(J68&lt;&gt;0,K68=Nguyen_nhan!$B$3),"Sai",""))</f>
      </c>
    </row>
    <row r="69" spans="1:13" s="150" customFormat="1" ht="34.5" customHeight="1">
      <c r="A69" s="99">
        <v>31</v>
      </c>
      <c r="B69" s="100" t="s">
        <v>439</v>
      </c>
      <c r="C69" s="296">
        <v>43060</v>
      </c>
      <c r="D69" s="98" t="s">
        <v>448</v>
      </c>
      <c r="E69" s="296">
        <v>43074</v>
      </c>
      <c r="F69" s="232" t="s">
        <v>43</v>
      </c>
      <c r="G69" s="98" t="s">
        <v>449</v>
      </c>
      <c r="H69" s="302">
        <v>29013</v>
      </c>
      <c r="I69" s="302">
        <v>29013</v>
      </c>
      <c r="J69" s="101">
        <f>H69-I69</f>
        <v>0</v>
      </c>
      <c r="K69" s="285" t="s">
        <v>203</v>
      </c>
      <c r="L69" s="94"/>
      <c r="M69" s="344" t="str">
        <f>IF(AND(J69=0,K69=Nguyen_nhan!$B$3),"Đúng",IF(AND(J69&lt;&gt;0,K69=Nguyen_nhan!$B$3),"Sai",""))</f>
        <v>Đúng</v>
      </c>
    </row>
    <row r="70" spans="1:13" s="150" customFormat="1" ht="34.5" customHeight="1">
      <c r="A70" s="99">
        <v>32</v>
      </c>
      <c r="B70" s="100" t="s">
        <v>430</v>
      </c>
      <c r="C70" s="296">
        <v>43530</v>
      </c>
      <c r="D70" s="98" t="s">
        <v>451</v>
      </c>
      <c r="E70" s="296">
        <v>43636</v>
      </c>
      <c r="F70" s="232" t="s">
        <v>27</v>
      </c>
      <c r="G70" s="98" t="s">
        <v>452</v>
      </c>
      <c r="H70" s="302">
        <v>9710</v>
      </c>
      <c r="I70" s="302">
        <v>0</v>
      </c>
      <c r="J70" s="101">
        <f>H70-I70</f>
        <v>9710</v>
      </c>
      <c r="K70" s="285" t="s">
        <v>316</v>
      </c>
      <c r="L70" s="94"/>
      <c r="M70" s="344">
        <f>IF(AND(J70=0,K70=Nguyen_nhan!$B$3),"Đúng",IF(AND(J70&lt;&gt;0,K70=Nguyen_nhan!$B$3),"Sai",""))</f>
      </c>
    </row>
    <row r="71" spans="1:13" s="150" customFormat="1" ht="34.5" customHeight="1">
      <c r="A71" s="99">
        <v>33</v>
      </c>
      <c r="B71" s="100" t="s">
        <v>437</v>
      </c>
      <c r="C71" s="296">
        <v>43528</v>
      </c>
      <c r="D71" s="98" t="s">
        <v>638</v>
      </c>
      <c r="E71" s="296">
        <v>43636</v>
      </c>
      <c r="F71" s="232" t="s">
        <v>27</v>
      </c>
      <c r="G71" s="98" t="s">
        <v>639</v>
      </c>
      <c r="H71" s="302">
        <v>16440</v>
      </c>
      <c r="I71" s="302">
        <v>0</v>
      </c>
      <c r="J71" s="101">
        <f>H71-I71</f>
        <v>16440</v>
      </c>
      <c r="K71" s="285" t="s">
        <v>196</v>
      </c>
      <c r="L71" s="94"/>
      <c r="M71" s="344">
        <f>IF(AND(J71=0,K71=Nguyen_nhan!$B$3),"Đúng",IF(AND(J71&lt;&gt;0,K71=Nguyen_nhan!$B$3),"Sai",""))</f>
      </c>
    </row>
    <row r="72" spans="1:13" s="150" customFormat="1" ht="34.5" customHeight="1">
      <c r="A72" s="99">
        <v>34</v>
      </c>
      <c r="B72" s="312" t="s">
        <v>348</v>
      </c>
      <c r="C72" s="296">
        <v>44225</v>
      </c>
      <c r="D72" s="98" t="s">
        <v>627</v>
      </c>
      <c r="E72" s="296">
        <v>44264</v>
      </c>
      <c r="F72" s="232" t="s">
        <v>36</v>
      </c>
      <c r="G72" s="98" t="s">
        <v>628</v>
      </c>
      <c r="H72" s="302">
        <v>721210</v>
      </c>
      <c r="I72" s="302">
        <v>234891</v>
      </c>
      <c r="J72" s="101">
        <f>H72-I72</f>
        <v>486319</v>
      </c>
      <c r="K72" s="285" t="s">
        <v>316</v>
      </c>
      <c r="L72" s="94"/>
      <c r="M72" s="344">
        <f>IF(AND(J72=0,K72=Nguyen_nhan!$B$3),"Đúng",IF(AND(J72&lt;&gt;0,K72=Nguyen_nhan!$B$3),"Sai",""))</f>
      </c>
    </row>
    <row r="73" spans="1:13" s="150" customFormat="1" ht="34.5" customHeight="1">
      <c r="A73" s="99">
        <v>35</v>
      </c>
      <c r="B73" s="100" t="s">
        <v>458</v>
      </c>
      <c r="C73" s="296">
        <v>44018</v>
      </c>
      <c r="D73" s="98" t="s">
        <v>459</v>
      </c>
      <c r="E73" s="296">
        <v>44047</v>
      </c>
      <c r="F73" s="232" t="s">
        <v>53</v>
      </c>
      <c r="G73" s="100" t="s">
        <v>460</v>
      </c>
      <c r="H73" s="299">
        <v>34258</v>
      </c>
      <c r="I73" s="299">
        <f>3000+1500+1500+1500</f>
        <v>7500</v>
      </c>
      <c r="J73" s="115">
        <f aca="true" t="shared" si="3" ref="J73:J82">H73-I73</f>
        <v>26758</v>
      </c>
      <c r="K73" s="285" t="s">
        <v>196</v>
      </c>
      <c r="L73" s="94"/>
      <c r="M73" s="344">
        <f>IF(AND(J73=0,K73=Nguyen_nhan!$B$3),"Đúng",IF(AND(J73&lt;&gt;0,K73=Nguyen_nhan!$B$3),"Sai",""))</f>
      </c>
    </row>
    <row r="74" spans="1:13" s="150" customFormat="1" ht="34.5" customHeight="1">
      <c r="A74" s="99">
        <v>36</v>
      </c>
      <c r="B74" s="100" t="s">
        <v>421</v>
      </c>
      <c r="C74" s="296">
        <v>43613</v>
      </c>
      <c r="D74" s="98" t="s">
        <v>461</v>
      </c>
      <c r="E74" s="296">
        <v>44202</v>
      </c>
      <c r="F74" s="232" t="s">
        <v>49</v>
      </c>
      <c r="G74" s="100" t="s">
        <v>462</v>
      </c>
      <c r="H74" s="299">
        <v>83454</v>
      </c>
      <c r="I74" s="299">
        <f>3600+1200+4800+4200</f>
        <v>13800</v>
      </c>
      <c r="J74" s="115">
        <f t="shared" si="3"/>
        <v>69654</v>
      </c>
      <c r="K74" s="285" t="s">
        <v>196</v>
      </c>
      <c r="L74" s="94"/>
      <c r="M74" s="344">
        <f>IF(AND(J74=0,K74=Nguyen_nhan!$B$3),"Đúng",IF(AND(J74&lt;&gt;0,K74=Nguyen_nhan!$B$3),"Sai",""))</f>
      </c>
    </row>
    <row r="75" spans="1:13" s="150" customFormat="1" ht="34.5" customHeight="1">
      <c r="A75" s="99">
        <v>37</v>
      </c>
      <c r="B75" s="312" t="s">
        <v>433</v>
      </c>
      <c r="C75" s="296">
        <v>44645</v>
      </c>
      <c r="D75" s="98" t="s">
        <v>682</v>
      </c>
      <c r="E75" s="296">
        <v>44692</v>
      </c>
      <c r="F75" s="232" t="s">
        <v>50</v>
      </c>
      <c r="G75" s="98" t="s">
        <v>683</v>
      </c>
      <c r="H75" s="297">
        <v>582470</v>
      </c>
      <c r="I75" s="297">
        <v>582470</v>
      </c>
      <c r="J75" s="115">
        <f t="shared" si="3"/>
        <v>0</v>
      </c>
      <c r="K75" s="285" t="s">
        <v>203</v>
      </c>
      <c r="L75" s="94"/>
      <c r="M75" s="344" t="str">
        <f>IF(AND(J75=0,K75=Nguyen_nhan!$B$3),"Đúng",IF(AND(J75&lt;&gt;0,K75=Nguyen_nhan!$B$3),"Sai",""))</f>
        <v>Đúng</v>
      </c>
    </row>
    <row r="76" spans="1:13" s="150" customFormat="1" ht="34.5" customHeight="1">
      <c r="A76" s="99">
        <v>38</v>
      </c>
      <c r="B76" s="312" t="s">
        <v>454</v>
      </c>
      <c r="C76" s="296">
        <v>44790</v>
      </c>
      <c r="D76" s="98" t="s">
        <v>721</v>
      </c>
      <c r="E76" s="296">
        <v>44909</v>
      </c>
      <c r="F76" s="232" t="s">
        <v>53</v>
      </c>
      <c r="G76" s="98" t="s">
        <v>722</v>
      </c>
      <c r="H76" s="297">
        <v>669914</v>
      </c>
      <c r="I76" s="297">
        <v>189711</v>
      </c>
      <c r="J76" s="115">
        <f t="shared" si="3"/>
        <v>480203</v>
      </c>
      <c r="K76" s="285" t="s">
        <v>196</v>
      </c>
      <c r="L76" s="94"/>
      <c r="M76" s="344">
        <f>IF(AND(J76=0,K76=Nguyen_nhan!$B$3),"Đúng",IF(AND(J76&lt;&gt;0,K76=Nguyen_nhan!$B$3),"Sai",""))</f>
      </c>
    </row>
    <row r="77" spans="1:13" s="150" customFormat="1" ht="34.5" customHeight="1">
      <c r="A77" s="99">
        <v>39</v>
      </c>
      <c r="B77" s="312" t="s">
        <v>348</v>
      </c>
      <c r="C77" s="296">
        <v>45065</v>
      </c>
      <c r="D77" s="98" t="s">
        <v>794</v>
      </c>
      <c r="E77" s="296">
        <v>45089</v>
      </c>
      <c r="F77" s="232" t="s">
        <v>212</v>
      </c>
      <c r="G77" s="98" t="s">
        <v>795</v>
      </c>
      <c r="H77" s="297">
        <f>5285064+1800</f>
        <v>5286864</v>
      </c>
      <c r="I77" s="297">
        <v>0</v>
      </c>
      <c r="J77" s="115">
        <f t="shared" si="3"/>
        <v>5286864</v>
      </c>
      <c r="K77" s="285" t="s">
        <v>197</v>
      </c>
      <c r="L77" s="94"/>
      <c r="M77" s="344">
        <f>IF(AND(J77=0,K77=Nguyen_nhan!$B$3),"Đúng",IF(AND(J77&lt;&gt;0,K77=Nguyen_nhan!$B$3),"Sai",""))</f>
      </c>
    </row>
    <row r="78" spans="1:13" s="150" customFormat="1" ht="34.5" customHeight="1">
      <c r="A78" s="99">
        <v>40</v>
      </c>
      <c r="B78" s="312" t="s">
        <v>404</v>
      </c>
      <c r="C78" s="296">
        <v>43577</v>
      </c>
      <c r="D78" s="98" t="s">
        <v>463</v>
      </c>
      <c r="E78" s="296">
        <v>43627</v>
      </c>
      <c r="F78" s="232" t="s">
        <v>27</v>
      </c>
      <c r="G78" s="232" t="s">
        <v>464</v>
      </c>
      <c r="H78" s="304">
        <v>6646</v>
      </c>
      <c r="I78" s="304">
        <f>2000</f>
        <v>2000</v>
      </c>
      <c r="J78" s="115">
        <f t="shared" si="3"/>
        <v>4646</v>
      </c>
      <c r="K78" s="285" t="s">
        <v>196</v>
      </c>
      <c r="L78" s="94"/>
      <c r="M78" s="344">
        <f>IF(AND(J78=0,K78=Nguyen_nhan!$B$3),"Đúng",IF(AND(J78&lt;&gt;0,K78=Nguyen_nhan!$B$3),"Sai",""))</f>
      </c>
    </row>
    <row r="79" spans="1:13" s="150" customFormat="1" ht="34.5" customHeight="1">
      <c r="A79" s="99">
        <v>41</v>
      </c>
      <c r="B79" s="100" t="s">
        <v>373</v>
      </c>
      <c r="C79" s="296">
        <v>44232</v>
      </c>
      <c r="D79" s="98" t="s">
        <v>466</v>
      </c>
      <c r="E79" s="296">
        <v>44264</v>
      </c>
      <c r="F79" s="232" t="s">
        <v>258</v>
      </c>
      <c r="G79" s="98" t="s">
        <v>467</v>
      </c>
      <c r="H79" s="303">
        <v>71580</v>
      </c>
      <c r="I79" s="303">
        <v>2000</v>
      </c>
      <c r="J79" s="115">
        <f t="shared" si="3"/>
        <v>69580</v>
      </c>
      <c r="K79" s="285" t="s">
        <v>196</v>
      </c>
      <c r="L79" s="94"/>
      <c r="M79" s="344">
        <f>IF(AND(J79=0,K79=Nguyen_nhan!$B$3),"Đúng",IF(AND(J79&lt;&gt;0,K79=Nguyen_nhan!$B$3),"Sai",""))</f>
      </c>
    </row>
    <row r="80" spans="1:13" s="150" customFormat="1" ht="34.5" customHeight="1">
      <c r="A80" s="99">
        <v>42</v>
      </c>
      <c r="B80" s="316">
        <v>14</v>
      </c>
      <c r="C80" s="296">
        <v>44727</v>
      </c>
      <c r="D80" s="98" t="s">
        <v>796</v>
      </c>
      <c r="E80" s="296">
        <v>44932</v>
      </c>
      <c r="F80" s="232" t="s">
        <v>258</v>
      </c>
      <c r="G80" s="319" t="s">
        <v>797</v>
      </c>
      <c r="H80" s="311">
        <v>659784</v>
      </c>
      <c r="I80" s="303">
        <v>0</v>
      </c>
      <c r="J80" s="115">
        <f t="shared" si="3"/>
        <v>659784</v>
      </c>
      <c r="K80" s="285" t="s">
        <v>196</v>
      </c>
      <c r="L80" s="94"/>
      <c r="M80" s="344">
        <f>IF(AND(J80=0,K80=Nguyen_nhan!$B$3),"Đúng",IF(AND(J80&lt;&gt;0,K80=Nguyen_nhan!$B$3),"Sai",""))</f>
      </c>
    </row>
    <row r="81" spans="1:13" s="150" customFormat="1" ht="34.5" customHeight="1">
      <c r="A81" s="99">
        <v>43</v>
      </c>
      <c r="B81" s="317" t="s">
        <v>433</v>
      </c>
      <c r="C81" s="296">
        <v>43949</v>
      </c>
      <c r="D81" s="98" t="s">
        <v>640</v>
      </c>
      <c r="E81" s="296">
        <v>44872</v>
      </c>
      <c r="F81" s="232" t="s">
        <v>209</v>
      </c>
      <c r="G81" s="100" t="s">
        <v>723</v>
      </c>
      <c r="H81" s="310">
        <v>51439</v>
      </c>
      <c r="I81" s="303">
        <v>14796</v>
      </c>
      <c r="J81" s="101">
        <f t="shared" si="3"/>
        <v>36643</v>
      </c>
      <c r="K81" s="285" t="s">
        <v>196</v>
      </c>
      <c r="L81" s="94"/>
      <c r="M81" s="344">
        <f>IF(AND(J81=0,K81=Nguyen_nhan!$B$3),"Đúng",IF(AND(J81&lt;&gt;0,K81=Nguyen_nhan!$B$3),"Sai",""))</f>
      </c>
    </row>
    <row r="82" spans="1:13" s="150" customFormat="1" ht="34.5" customHeight="1">
      <c r="A82" s="99">
        <v>44</v>
      </c>
      <c r="B82" s="100" t="s">
        <v>349</v>
      </c>
      <c r="C82" s="296">
        <v>44929</v>
      </c>
      <c r="D82" s="98" t="s">
        <v>798</v>
      </c>
      <c r="E82" s="296">
        <v>45019</v>
      </c>
      <c r="F82" s="232" t="s">
        <v>50</v>
      </c>
      <c r="G82" s="98" t="s">
        <v>799</v>
      </c>
      <c r="H82" s="303">
        <v>6380100</v>
      </c>
      <c r="I82" s="303">
        <v>0</v>
      </c>
      <c r="J82" s="101">
        <f t="shared" si="3"/>
        <v>6380100</v>
      </c>
      <c r="K82" s="285" t="s">
        <v>196</v>
      </c>
      <c r="L82" s="94"/>
      <c r="M82" s="344">
        <f>IF(AND(J82=0,K82=Nguyen_nhan!$B$3),"Đúng",IF(AND(J82&lt;&gt;0,K82=Nguyen_nhan!$B$3),"Sai",""))</f>
      </c>
    </row>
    <row r="83" spans="1:13" s="127" customFormat="1" ht="34.5" customHeight="1">
      <c r="A83" s="181" t="s">
        <v>13</v>
      </c>
      <c r="B83" s="356" t="s">
        <v>618</v>
      </c>
      <c r="C83" s="357"/>
      <c r="D83" s="191"/>
      <c r="E83" s="192"/>
      <c r="F83" s="193"/>
      <c r="G83" s="194"/>
      <c r="H83" s="187"/>
      <c r="I83" s="187"/>
      <c r="J83" s="187"/>
      <c r="K83" s="195"/>
      <c r="L83" s="196"/>
      <c r="M83" s="344">
        <f>IF(AND(J83=0,K83=Nguyen_nhan!$B$3),"Đúng",IF(AND(J83&lt;&gt;0,K83=Nguyen_nhan!$B$3),"Sai",""))</f>
      </c>
    </row>
    <row r="84" spans="1:13" s="82" customFormat="1" ht="34.5" customHeight="1">
      <c r="A84" s="99">
        <v>1</v>
      </c>
      <c r="B84" s="159">
        <v>28</v>
      </c>
      <c r="C84" s="113">
        <v>43579</v>
      </c>
      <c r="D84" s="103">
        <v>45</v>
      </c>
      <c r="E84" s="113">
        <v>43754</v>
      </c>
      <c r="F84" s="96" t="s">
        <v>50</v>
      </c>
      <c r="G84" s="103" t="s">
        <v>381</v>
      </c>
      <c r="H84" s="104">
        <v>238122</v>
      </c>
      <c r="I84" s="104">
        <v>0</v>
      </c>
      <c r="J84" s="230">
        <f>H84-I84</f>
        <v>238122</v>
      </c>
      <c r="K84" s="100" t="s">
        <v>316</v>
      </c>
      <c r="L84" s="231"/>
      <c r="M84" s="344">
        <f>IF(AND(J84=0,K84=Nguyen_nhan!$B$3),"Đúng",IF(AND(J84&lt;&gt;0,K84=Nguyen_nhan!$B$3),"Sai",""))</f>
      </c>
    </row>
    <row r="85" spans="1:13" s="82" customFormat="1" ht="34.5" customHeight="1">
      <c r="A85" s="99">
        <v>2</v>
      </c>
      <c r="B85" s="159">
        <v>14</v>
      </c>
      <c r="C85" s="113">
        <v>43635</v>
      </c>
      <c r="D85" s="103">
        <v>51</v>
      </c>
      <c r="E85" s="113">
        <v>43767</v>
      </c>
      <c r="F85" s="96" t="s">
        <v>53</v>
      </c>
      <c r="G85" s="103" t="s">
        <v>382</v>
      </c>
      <c r="H85" s="104">
        <v>806028</v>
      </c>
      <c r="I85" s="104">
        <v>0</v>
      </c>
      <c r="J85" s="230">
        <f aca="true" t="shared" si="4" ref="J85:J148">H85-I85</f>
        <v>806028</v>
      </c>
      <c r="K85" s="100" t="s">
        <v>316</v>
      </c>
      <c r="L85" s="231"/>
      <c r="M85" s="344">
        <f>IF(AND(J85=0,K85=Nguyen_nhan!$B$3),"Đúng",IF(AND(J85&lt;&gt;0,K85=Nguyen_nhan!$B$3),"Sai",""))</f>
      </c>
    </row>
    <row r="86" spans="1:13" s="82" customFormat="1" ht="34.5" customHeight="1">
      <c r="A86" s="99">
        <v>3</v>
      </c>
      <c r="B86" s="159">
        <v>44</v>
      </c>
      <c r="C86" s="113">
        <v>43752</v>
      </c>
      <c r="D86" s="103">
        <v>141</v>
      </c>
      <c r="E86" s="113">
        <v>43802</v>
      </c>
      <c r="F86" s="96" t="s">
        <v>43</v>
      </c>
      <c r="G86" s="103" t="s">
        <v>624</v>
      </c>
      <c r="H86" s="104">
        <v>977841</v>
      </c>
      <c r="I86" s="104">
        <f>111718+283636+57000</f>
        <v>452354</v>
      </c>
      <c r="J86" s="230">
        <f t="shared" si="4"/>
        <v>525487</v>
      </c>
      <c r="K86" s="100" t="s">
        <v>196</v>
      </c>
      <c r="L86" s="231"/>
      <c r="M86" s="344">
        <f>IF(AND(J86=0,K86=Nguyen_nhan!$B$3),"Đúng",IF(AND(J86&lt;&gt;0,K86=Nguyen_nhan!$B$3),"Sai",""))</f>
      </c>
    </row>
    <row r="87" spans="1:13" s="82" customFormat="1" ht="34.5" customHeight="1">
      <c r="A87" s="99">
        <v>4</v>
      </c>
      <c r="B87" s="159" t="s">
        <v>373</v>
      </c>
      <c r="C87" s="113">
        <v>43861</v>
      </c>
      <c r="D87" s="103">
        <v>455</v>
      </c>
      <c r="E87" s="113">
        <v>44025</v>
      </c>
      <c r="F87" s="96" t="s">
        <v>50</v>
      </c>
      <c r="G87" s="103" t="s">
        <v>626</v>
      </c>
      <c r="H87" s="104">
        <v>164794</v>
      </c>
      <c r="I87" s="104">
        <v>0</v>
      </c>
      <c r="J87" s="230">
        <f t="shared" si="4"/>
        <v>164794</v>
      </c>
      <c r="K87" s="100" t="s">
        <v>316</v>
      </c>
      <c r="L87" s="231"/>
      <c r="M87" s="344">
        <f>IF(AND(J87=0,K87=Nguyen_nhan!$B$3),"Đúng",IF(AND(J87&lt;&gt;0,K87=Nguyen_nhan!$B$3),"Sai",""))</f>
      </c>
    </row>
    <row r="88" spans="1:13" s="82" customFormat="1" ht="34.5" customHeight="1">
      <c r="A88" s="99">
        <v>5</v>
      </c>
      <c r="B88" s="159" t="s">
        <v>370</v>
      </c>
      <c r="C88" s="113">
        <v>44050</v>
      </c>
      <c r="D88" s="103">
        <v>145</v>
      </c>
      <c r="E88" s="113">
        <v>44158</v>
      </c>
      <c r="F88" s="96" t="s">
        <v>52</v>
      </c>
      <c r="G88" s="103" t="s">
        <v>386</v>
      </c>
      <c r="H88" s="104">
        <v>461479</v>
      </c>
      <c r="I88" s="104">
        <v>0</v>
      </c>
      <c r="J88" s="230">
        <f t="shared" si="4"/>
        <v>461479</v>
      </c>
      <c r="K88" s="100" t="s">
        <v>316</v>
      </c>
      <c r="L88" s="231"/>
      <c r="M88" s="344">
        <f>IF(AND(J88=0,K88=Nguyen_nhan!$B$3),"Đúng",IF(AND(J88&lt;&gt;0,K88=Nguyen_nhan!$B$3),"Sai",""))</f>
      </c>
    </row>
    <row r="89" spans="1:13" s="82" customFormat="1" ht="34.5" customHeight="1">
      <c r="A89" s="99">
        <v>6</v>
      </c>
      <c r="B89" s="159">
        <v>58</v>
      </c>
      <c r="C89" s="113">
        <v>44056</v>
      </c>
      <c r="D89" s="103">
        <v>95</v>
      </c>
      <c r="E89" s="113">
        <v>44123</v>
      </c>
      <c r="F89" s="96" t="s">
        <v>52</v>
      </c>
      <c r="G89" s="103" t="s">
        <v>387</v>
      </c>
      <c r="H89" s="104">
        <v>335405</v>
      </c>
      <c r="I89" s="104">
        <v>0</v>
      </c>
      <c r="J89" s="230">
        <f t="shared" si="4"/>
        <v>335405</v>
      </c>
      <c r="K89" s="100" t="s">
        <v>316</v>
      </c>
      <c r="L89" s="231"/>
      <c r="M89" s="344">
        <f>IF(AND(J89=0,K89=Nguyen_nhan!$B$3),"Đúng",IF(AND(J89&lt;&gt;0,K89=Nguyen_nhan!$B$3),"Sai",""))</f>
      </c>
    </row>
    <row r="90" spans="1:13" s="82" customFormat="1" ht="34.5" customHeight="1">
      <c r="A90" s="99">
        <v>7</v>
      </c>
      <c r="B90" s="249">
        <v>14</v>
      </c>
      <c r="C90" s="245">
        <v>44823</v>
      </c>
      <c r="D90" s="250">
        <v>159</v>
      </c>
      <c r="E90" s="245">
        <v>44911</v>
      </c>
      <c r="F90" s="247" t="s">
        <v>27</v>
      </c>
      <c r="G90" s="250" t="s">
        <v>724</v>
      </c>
      <c r="H90" s="248">
        <v>1146390</v>
      </c>
      <c r="I90" s="248">
        <v>0</v>
      </c>
      <c r="J90" s="230">
        <f t="shared" si="4"/>
        <v>1146390</v>
      </c>
      <c r="K90" s="262" t="s">
        <v>196</v>
      </c>
      <c r="L90" s="231"/>
      <c r="M90" s="344">
        <f>IF(AND(J90=0,K90=Nguyen_nhan!$B$3),"Đúng",IF(AND(J90&lt;&gt;0,K90=Nguyen_nhan!$B$3),"Sai",""))</f>
      </c>
    </row>
    <row r="91" spans="1:13" s="82" customFormat="1" ht="34.5" customHeight="1">
      <c r="A91" s="99">
        <v>8</v>
      </c>
      <c r="B91" s="159">
        <v>59</v>
      </c>
      <c r="C91" s="113">
        <v>44056</v>
      </c>
      <c r="D91" s="103">
        <v>306</v>
      </c>
      <c r="E91" s="113">
        <v>44256</v>
      </c>
      <c r="F91" s="96" t="s">
        <v>53</v>
      </c>
      <c r="G91" s="103" t="s">
        <v>398</v>
      </c>
      <c r="H91" s="104">
        <v>547276</v>
      </c>
      <c r="I91" s="104">
        <v>171846</v>
      </c>
      <c r="J91" s="230">
        <f t="shared" si="4"/>
        <v>375430</v>
      </c>
      <c r="K91" s="100" t="s">
        <v>196</v>
      </c>
      <c r="L91" s="231"/>
      <c r="M91" s="344">
        <f>IF(AND(J91=0,K91=Nguyen_nhan!$B$3),"Đúng",IF(AND(J91&lt;&gt;0,K91=Nguyen_nhan!$B$3),"Sai",""))</f>
      </c>
    </row>
    <row r="92" spans="1:13" s="82" customFormat="1" ht="34.5" customHeight="1">
      <c r="A92" s="99">
        <v>9</v>
      </c>
      <c r="B92" s="159">
        <v>65</v>
      </c>
      <c r="C92" s="113">
        <v>44068</v>
      </c>
      <c r="D92" s="103">
        <v>377</v>
      </c>
      <c r="E92" s="113">
        <v>44312</v>
      </c>
      <c r="F92" s="96" t="s">
        <v>36</v>
      </c>
      <c r="G92" s="103" t="s">
        <v>603</v>
      </c>
      <c r="H92" s="104">
        <v>569913</v>
      </c>
      <c r="I92" s="104">
        <v>569913</v>
      </c>
      <c r="J92" s="230">
        <f t="shared" si="4"/>
        <v>0</v>
      </c>
      <c r="K92" s="100" t="s">
        <v>203</v>
      </c>
      <c r="L92" s="231"/>
      <c r="M92" s="344" t="str">
        <f>IF(AND(J92=0,K92=Nguyen_nhan!$B$3),"Đúng",IF(AND(J92&lt;&gt;0,K92=Nguyen_nhan!$B$3),"Sai",""))</f>
        <v>Đúng</v>
      </c>
    </row>
    <row r="93" spans="1:13" s="82" customFormat="1" ht="34.5" customHeight="1">
      <c r="A93" s="99">
        <v>10</v>
      </c>
      <c r="B93" s="159">
        <v>17</v>
      </c>
      <c r="C93" s="113">
        <v>44074</v>
      </c>
      <c r="D93" s="103">
        <v>381</v>
      </c>
      <c r="E93" s="113">
        <v>44321</v>
      </c>
      <c r="F93" s="96" t="s">
        <v>50</v>
      </c>
      <c r="G93" s="103" t="s">
        <v>604</v>
      </c>
      <c r="H93" s="104">
        <v>451403</v>
      </c>
      <c r="I93" s="104">
        <v>0</v>
      </c>
      <c r="J93" s="230">
        <f t="shared" si="4"/>
        <v>451403</v>
      </c>
      <c r="K93" s="100" t="s">
        <v>316</v>
      </c>
      <c r="L93" s="231"/>
      <c r="M93" s="344">
        <f>IF(AND(J93=0,K93=Nguyen_nhan!$B$3),"Đúng",IF(AND(J93&lt;&gt;0,K93=Nguyen_nhan!$B$3),"Sai",""))</f>
      </c>
    </row>
    <row r="94" spans="1:13" s="82" customFormat="1" ht="34.5" customHeight="1">
      <c r="A94" s="99">
        <v>11</v>
      </c>
      <c r="B94" s="159">
        <v>18</v>
      </c>
      <c r="C94" s="113">
        <v>44834</v>
      </c>
      <c r="D94" s="103">
        <v>196</v>
      </c>
      <c r="E94" s="113">
        <v>44963</v>
      </c>
      <c r="F94" s="96" t="s">
        <v>49</v>
      </c>
      <c r="G94" s="103" t="s">
        <v>725</v>
      </c>
      <c r="H94" s="104">
        <v>267241</v>
      </c>
      <c r="I94" s="104">
        <v>0</v>
      </c>
      <c r="J94" s="230">
        <f t="shared" si="4"/>
        <v>267241</v>
      </c>
      <c r="K94" s="262" t="s">
        <v>196</v>
      </c>
      <c r="L94" s="231"/>
      <c r="M94" s="344">
        <f>IF(AND(J94=0,K94=Nguyen_nhan!$B$3),"Đúng",IF(AND(J94&lt;&gt;0,K94=Nguyen_nhan!$B$3),"Sai",""))</f>
      </c>
    </row>
    <row r="95" spans="1:13" s="82" customFormat="1" ht="34.5" customHeight="1">
      <c r="A95" s="99">
        <v>12</v>
      </c>
      <c r="B95" s="159">
        <v>91</v>
      </c>
      <c r="C95" s="113">
        <v>44538</v>
      </c>
      <c r="D95" s="103">
        <v>174</v>
      </c>
      <c r="E95" s="113">
        <v>44935</v>
      </c>
      <c r="F95" s="96" t="s">
        <v>49</v>
      </c>
      <c r="G95" s="103" t="s">
        <v>707</v>
      </c>
      <c r="H95" s="104">
        <v>93978</v>
      </c>
      <c r="I95" s="104">
        <v>0</v>
      </c>
      <c r="J95" s="230">
        <f t="shared" si="4"/>
        <v>93978</v>
      </c>
      <c r="K95" s="262" t="s">
        <v>196</v>
      </c>
      <c r="L95" s="231"/>
      <c r="M95" s="344">
        <f>IF(AND(J95=0,K95=Nguyen_nhan!$B$3),"Đúng",IF(AND(J95&lt;&gt;0,K95=Nguyen_nhan!$B$3),"Sai",""))</f>
      </c>
    </row>
    <row r="96" spans="1:13" s="82" customFormat="1" ht="34.5" customHeight="1">
      <c r="A96" s="99">
        <v>13</v>
      </c>
      <c r="B96" s="249">
        <v>16</v>
      </c>
      <c r="C96" s="245">
        <v>44830</v>
      </c>
      <c r="D96" s="250">
        <v>160</v>
      </c>
      <c r="E96" s="245">
        <v>44901</v>
      </c>
      <c r="F96" s="247" t="s">
        <v>27</v>
      </c>
      <c r="G96" s="250" t="s">
        <v>726</v>
      </c>
      <c r="H96" s="248">
        <v>1559458</v>
      </c>
      <c r="I96" s="248">
        <v>0</v>
      </c>
      <c r="J96" s="230">
        <f t="shared" si="4"/>
        <v>1559458</v>
      </c>
      <c r="K96" s="262" t="s">
        <v>196</v>
      </c>
      <c r="L96" s="231"/>
      <c r="M96" s="344">
        <f>IF(AND(J96=0,K96=Nguyen_nhan!$B$3),"Đúng",IF(AND(J96&lt;&gt;0,K96=Nguyen_nhan!$B$3),"Sai",""))</f>
      </c>
    </row>
    <row r="97" spans="1:13" s="82" customFormat="1" ht="34.5" customHeight="1">
      <c r="A97" s="99">
        <v>14</v>
      </c>
      <c r="B97" s="159" t="s">
        <v>373</v>
      </c>
      <c r="C97" s="113">
        <v>44306</v>
      </c>
      <c r="D97" s="103">
        <v>473</v>
      </c>
      <c r="E97" s="113">
        <v>44361</v>
      </c>
      <c r="F97" s="96" t="s">
        <v>52</v>
      </c>
      <c r="G97" s="103" t="s">
        <v>605</v>
      </c>
      <c r="H97" s="104">
        <v>372773</v>
      </c>
      <c r="I97" s="104">
        <v>183170</v>
      </c>
      <c r="J97" s="230">
        <f t="shared" si="4"/>
        <v>189603</v>
      </c>
      <c r="K97" s="100" t="s">
        <v>316</v>
      </c>
      <c r="L97" s="231"/>
      <c r="M97" s="344">
        <f>IF(AND(J97=0,K97=Nguyen_nhan!$B$3),"Đúng",IF(AND(J97&lt;&gt;0,K97=Nguyen_nhan!$B$3),"Sai",""))</f>
      </c>
    </row>
    <row r="98" spans="1:13" s="82" customFormat="1" ht="34.5" customHeight="1">
      <c r="A98" s="99">
        <v>15</v>
      </c>
      <c r="B98" s="159">
        <v>94</v>
      </c>
      <c r="C98" s="113">
        <v>44196</v>
      </c>
      <c r="D98" s="103">
        <v>59</v>
      </c>
      <c r="E98" s="113">
        <v>44487</v>
      </c>
      <c r="F98" s="96" t="s">
        <v>49</v>
      </c>
      <c r="G98" s="103" t="s">
        <v>641</v>
      </c>
      <c r="H98" s="104">
        <v>47684</v>
      </c>
      <c r="I98" s="104">
        <v>0</v>
      </c>
      <c r="J98" s="230">
        <f t="shared" si="4"/>
        <v>47684</v>
      </c>
      <c r="K98" s="100" t="s">
        <v>316</v>
      </c>
      <c r="L98" s="231"/>
      <c r="M98" s="344">
        <f>IF(AND(J98=0,K98=Nguyen_nhan!$B$3),"Đúng",IF(AND(J98&lt;&gt;0,K98=Nguyen_nhan!$B$3),"Sai",""))</f>
      </c>
    </row>
    <row r="99" spans="1:13" s="82" customFormat="1" ht="34.5" customHeight="1">
      <c r="A99" s="99">
        <v>16</v>
      </c>
      <c r="B99" s="159" t="s">
        <v>363</v>
      </c>
      <c r="C99" s="113">
        <v>44029</v>
      </c>
      <c r="D99" s="103">
        <v>300</v>
      </c>
      <c r="E99" s="113">
        <v>44657</v>
      </c>
      <c r="F99" s="96" t="s">
        <v>36</v>
      </c>
      <c r="G99" s="266" t="s">
        <v>706</v>
      </c>
      <c r="H99" s="267">
        <v>353091</v>
      </c>
      <c r="I99" s="104">
        <v>0</v>
      </c>
      <c r="J99" s="230">
        <f t="shared" si="4"/>
        <v>353091</v>
      </c>
      <c r="K99" s="100" t="s">
        <v>316</v>
      </c>
      <c r="L99" s="231"/>
      <c r="M99" s="344">
        <f>IF(AND(J99=0,K99=Nguyen_nhan!$B$3),"Đúng",IF(AND(J99&lt;&gt;0,K99=Nguyen_nhan!$B$3),"Sai",""))</f>
      </c>
    </row>
    <row r="100" spans="1:13" s="82" customFormat="1" ht="34.5" customHeight="1">
      <c r="A100" s="99">
        <v>17</v>
      </c>
      <c r="B100" s="159" t="s">
        <v>349</v>
      </c>
      <c r="C100" s="113">
        <v>43676</v>
      </c>
      <c r="D100" s="103">
        <v>49</v>
      </c>
      <c r="E100" s="113">
        <v>43759</v>
      </c>
      <c r="F100" s="96" t="s">
        <v>212</v>
      </c>
      <c r="G100" s="103" t="s">
        <v>383</v>
      </c>
      <c r="H100" s="104">
        <v>3950299</v>
      </c>
      <c r="I100" s="104">
        <v>800336</v>
      </c>
      <c r="J100" s="230">
        <f t="shared" si="4"/>
        <v>3149963</v>
      </c>
      <c r="K100" s="100" t="s">
        <v>196</v>
      </c>
      <c r="L100" s="231"/>
      <c r="M100" s="344">
        <f>IF(AND(J100=0,K100=Nguyen_nhan!$B$3),"Đúng",IF(AND(J100&lt;&gt;0,K100=Nguyen_nhan!$B$3),"Sai",""))</f>
      </c>
    </row>
    <row r="101" spans="1:13" s="82" customFormat="1" ht="34.5" customHeight="1">
      <c r="A101" s="99">
        <v>18</v>
      </c>
      <c r="B101" s="249" t="s">
        <v>351</v>
      </c>
      <c r="C101" s="245">
        <v>44200</v>
      </c>
      <c r="D101" s="250">
        <v>49</v>
      </c>
      <c r="E101" s="245">
        <v>44858</v>
      </c>
      <c r="F101" s="247" t="s">
        <v>49</v>
      </c>
      <c r="G101" s="250" t="s">
        <v>727</v>
      </c>
      <c r="H101" s="248">
        <v>63370</v>
      </c>
      <c r="I101" s="248">
        <v>0</v>
      </c>
      <c r="J101" s="230">
        <f t="shared" si="4"/>
        <v>63370</v>
      </c>
      <c r="K101" s="262" t="s">
        <v>196</v>
      </c>
      <c r="L101" s="231"/>
      <c r="M101" s="344">
        <f>IF(AND(J101=0,K101=Nguyen_nhan!$B$3),"Đúng",IF(AND(J101&lt;&gt;0,K101=Nguyen_nhan!$B$3),"Sai",""))</f>
      </c>
    </row>
    <row r="102" spans="1:13" s="82" customFormat="1" ht="34.5" customHeight="1">
      <c r="A102" s="99">
        <v>19</v>
      </c>
      <c r="B102" s="159" t="s">
        <v>351</v>
      </c>
      <c r="C102" s="113">
        <v>43760</v>
      </c>
      <c r="D102" s="103">
        <v>27</v>
      </c>
      <c r="E102" s="113">
        <v>44111</v>
      </c>
      <c r="F102" s="96" t="s">
        <v>50</v>
      </c>
      <c r="G102" s="103" t="s">
        <v>383</v>
      </c>
      <c r="H102" s="104">
        <v>2898487</v>
      </c>
      <c r="I102" s="104">
        <v>1985843</v>
      </c>
      <c r="J102" s="230">
        <f t="shared" si="4"/>
        <v>912644</v>
      </c>
      <c r="K102" s="100" t="s">
        <v>196</v>
      </c>
      <c r="L102" s="231"/>
      <c r="M102" s="344">
        <f>IF(AND(J102=0,K102=Nguyen_nhan!$B$3),"Đúng",IF(AND(J102&lt;&gt;0,K102=Nguyen_nhan!$B$3),"Sai",""))</f>
      </c>
    </row>
    <row r="103" spans="1:13" s="82" customFormat="1" ht="34.5" customHeight="1">
      <c r="A103" s="99">
        <v>20</v>
      </c>
      <c r="B103" s="159" t="s">
        <v>363</v>
      </c>
      <c r="C103" s="113">
        <v>43799</v>
      </c>
      <c r="D103" s="103">
        <v>28</v>
      </c>
      <c r="E103" s="113">
        <v>44111</v>
      </c>
      <c r="F103" s="96" t="s">
        <v>212</v>
      </c>
      <c r="G103" s="103" t="s">
        <v>395</v>
      </c>
      <c r="H103" s="104">
        <v>220174</v>
      </c>
      <c r="I103" s="104">
        <v>56928</v>
      </c>
      <c r="J103" s="230">
        <f t="shared" si="4"/>
        <v>163246</v>
      </c>
      <c r="K103" s="100" t="s">
        <v>196</v>
      </c>
      <c r="L103" s="231"/>
      <c r="M103" s="344">
        <f>IF(AND(J103=0,K103=Nguyen_nhan!$B$3),"Đúng",IF(AND(J103&lt;&gt;0,K103=Nguyen_nhan!$B$3),"Sai",""))</f>
      </c>
    </row>
    <row r="104" spans="1:13" s="82" customFormat="1" ht="34.5" customHeight="1">
      <c r="A104" s="99">
        <v>21</v>
      </c>
      <c r="B104" s="159">
        <v>66</v>
      </c>
      <c r="C104" s="113">
        <v>44069</v>
      </c>
      <c r="D104" s="103">
        <v>86</v>
      </c>
      <c r="E104" s="113">
        <v>44117</v>
      </c>
      <c r="F104" s="96" t="s">
        <v>55</v>
      </c>
      <c r="G104" s="103" t="s">
        <v>386</v>
      </c>
      <c r="H104" s="104">
        <v>11720</v>
      </c>
      <c r="I104" s="104">
        <v>11720</v>
      </c>
      <c r="J104" s="230">
        <f t="shared" si="4"/>
        <v>0</v>
      </c>
      <c r="K104" s="100" t="s">
        <v>203</v>
      </c>
      <c r="L104" s="231"/>
      <c r="M104" s="344" t="str">
        <f>IF(AND(J104=0,K104=Nguyen_nhan!$B$3),"Đúng",IF(AND(J104&lt;&gt;0,K104=Nguyen_nhan!$B$3),"Sai",""))</f>
        <v>Đúng</v>
      </c>
    </row>
    <row r="105" spans="1:13" s="82" customFormat="1" ht="34.5" customHeight="1">
      <c r="A105" s="99">
        <v>22</v>
      </c>
      <c r="B105" s="159">
        <v>42</v>
      </c>
      <c r="C105" s="113">
        <v>44001</v>
      </c>
      <c r="D105" s="103">
        <v>168</v>
      </c>
      <c r="E105" s="113">
        <v>44166</v>
      </c>
      <c r="F105" s="96" t="s">
        <v>212</v>
      </c>
      <c r="G105" s="103" t="s">
        <v>396</v>
      </c>
      <c r="H105" s="104">
        <v>282256</v>
      </c>
      <c r="I105" s="104">
        <v>79527</v>
      </c>
      <c r="J105" s="230">
        <f t="shared" si="4"/>
        <v>202729</v>
      </c>
      <c r="K105" s="100" t="s">
        <v>196</v>
      </c>
      <c r="L105" s="231"/>
      <c r="M105" s="344">
        <f>IF(AND(J105=0,K105=Nguyen_nhan!$B$3),"Đúng",IF(AND(J105&lt;&gt;0,K105=Nguyen_nhan!$B$3),"Sai",""))</f>
      </c>
    </row>
    <row r="106" spans="1:13" s="82" customFormat="1" ht="34.5" customHeight="1">
      <c r="A106" s="99">
        <v>23</v>
      </c>
      <c r="B106" s="159">
        <v>93</v>
      </c>
      <c r="C106" s="113">
        <v>44196</v>
      </c>
      <c r="D106" s="103">
        <v>345</v>
      </c>
      <c r="E106" s="113">
        <v>44291</v>
      </c>
      <c r="F106" s="96" t="s">
        <v>212</v>
      </c>
      <c r="G106" s="103" t="s">
        <v>609</v>
      </c>
      <c r="H106" s="104">
        <v>960677</v>
      </c>
      <c r="I106" s="104">
        <v>0</v>
      </c>
      <c r="J106" s="230">
        <f t="shared" si="4"/>
        <v>960677</v>
      </c>
      <c r="K106" s="100" t="s">
        <v>196</v>
      </c>
      <c r="L106" s="231"/>
      <c r="M106" s="344">
        <f>IF(AND(J106=0,K106=Nguyen_nhan!$B$3),"Đúng",IF(AND(J106&lt;&gt;0,K106=Nguyen_nhan!$B$3),"Sai",""))</f>
      </c>
    </row>
    <row r="107" spans="1:13" s="82" customFormat="1" ht="34.5" customHeight="1">
      <c r="A107" s="99">
        <v>24</v>
      </c>
      <c r="B107" s="159">
        <v>11</v>
      </c>
      <c r="C107" s="113">
        <v>44322</v>
      </c>
      <c r="D107" s="103">
        <v>474</v>
      </c>
      <c r="E107" s="113">
        <v>44361</v>
      </c>
      <c r="F107" s="96" t="s">
        <v>52</v>
      </c>
      <c r="G107" s="103" t="s">
        <v>610</v>
      </c>
      <c r="H107" s="104">
        <v>111116</v>
      </c>
      <c r="I107" s="104">
        <v>74598</v>
      </c>
      <c r="J107" s="230">
        <f t="shared" si="4"/>
        <v>36518</v>
      </c>
      <c r="K107" s="100" t="s">
        <v>196</v>
      </c>
      <c r="L107" s="231"/>
      <c r="M107" s="344">
        <f>IF(AND(J107=0,K107=Nguyen_nhan!$B$3),"Đúng",IF(AND(J107&lt;&gt;0,K107=Nguyen_nhan!$B$3),"Sai",""))</f>
      </c>
    </row>
    <row r="108" spans="1:13" s="82" customFormat="1" ht="34.5" customHeight="1">
      <c r="A108" s="99">
        <v>25</v>
      </c>
      <c r="B108" s="159">
        <v>26</v>
      </c>
      <c r="C108" s="113">
        <v>44320</v>
      </c>
      <c r="D108" s="103">
        <v>476</v>
      </c>
      <c r="E108" s="113">
        <v>44361</v>
      </c>
      <c r="F108" s="96" t="s">
        <v>53</v>
      </c>
      <c r="G108" s="103" t="s">
        <v>611</v>
      </c>
      <c r="H108" s="104">
        <v>721079</v>
      </c>
      <c r="I108" s="104">
        <v>318730</v>
      </c>
      <c r="J108" s="230">
        <f t="shared" si="4"/>
        <v>402349</v>
      </c>
      <c r="K108" s="100" t="s">
        <v>196</v>
      </c>
      <c r="L108" s="231"/>
      <c r="M108" s="344">
        <f>IF(AND(J108=0,K108=Nguyen_nhan!$B$3),"Đúng",IF(AND(J108&lt;&gt;0,K108=Nguyen_nhan!$B$3),"Sai",""))</f>
      </c>
    </row>
    <row r="109" spans="1:13" s="82" customFormat="1" ht="34.5" customHeight="1">
      <c r="A109" s="99">
        <v>26</v>
      </c>
      <c r="B109" s="159">
        <v>23</v>
      </c>
      <c r="C109" s="113">
        <v>44098</v>
      </c>
      <c r="D109" s="103">
        <v>319</v>
      </c>
      <c r="E109" s="113">
        <v>44270</v>
      </c>
      <c r="F109" s="96" t="s">
        <v>52</v>
      </c>
      <c r="G109" s="103" t="s">
        <v>400</v>
      </c>
      <c r="H109" s="104">
        <v>284699</v>
      </c>
      <c r="I109" s="104">
        <v>0</v>
      </c>
      <c r="J109" s="230">
        <f t="shared" si="4"/>
        <v>284699</v>
      </c>
      <c r="K109" s="97" t="s">
        <v>316</v>
      </c>
      <c r="L109" s="231"/>
      <c r="M109" s="344">
        <f>IF(AND(J109=0,K109=Nguyen_nhan!$B$3),"Đúng",IF(AND(J109&lt;&gt;0,K109=Nguyen_nhan!$B$3),"Sai",""))</f>
      </c>
    </row>
    <row r="110" spans="1:13" s="82" customFormat="1" ht="34.5" customHeight="1">
      <c r="A110" s="99">
        <v>27</v>
      </c>
      <c r="B110" s="159" t="s">
        <v>642</v>
      </c>
      <c r="C110" s="113">
        <v>44308</v>
      </c>
      <c r="D110" s="103">
        <v>181</v>
      </c>
      <c r="E110" s="113">
        <v>44536</v>
      </c>
      <c r="F110" s="96" t="s">
        <v>36</v>
      </c>
      <c r="G110" s="103" t="s">
        <v>825</v>
      </c>
      <c r="H110" s="104">
        <v>338672</v>
      </c>
      <c r="I110" s="104">
        <v>0</v>
      </c>
      <c r="J110" s="230">
        <f t="shared" si="4"/>
        <v>338672</v>
      </c>
      <c r="K110" s="97" t="s">
        <v>316</v>
      </c>
      <c r="L110" s="231"/>
      <c r="M110" s="344">
        <f>IF(AND(J110=0,K110=Nguyen_nhan!$B$3),"Đúng",IF(AND(J110&lt;&gt;0,K110=Nguyen_nhan!$B$3),"Sai",""))</f>
      </c>
    </row>
    <row r="111" spans="1:13" s="82" customFormat="1" ht="34.5" customHeight="1">
      <c r="A111" s="99">
        <v>28</v>
      </c>
      <c r="B111" s="159" t="s">
        <v>350</v>
      </c>
      <c r="C111" s="113">
        <v>44075</v>
      </c>
      <c r="D111" s="103">
        <v>93</v>
      </c>
      <c r="E111" s="113">
        <v>44123</v>
      </c>
      <c r="F111" s="96" t="s">
        <v>43</v>
      </c>
      <c r="G111" s="103" t="s">
        <v>643</v>
      </c>
      <c r="H111" s="104">
        <v>90831</v>
      </c>
      <c r="I111" s="104">
        <v>0</v>
      </c>
      <c r="J111" s="230">
        <f t="shared" si="4"/>
        <v>90831</v>
      </c>
      <c r="K111" s="97" t="s">
        <v>316</v>
      </c>
      <c r="L111" s="231"/>
      <c r="M111" s="344">
        <f>IF(AND(J111=0,K111=Nguyen_nhan!$B$3),"Đúng",IF(AND(J111&lt;&gt;0,K111=Nguyen_nhan!$B$3),"Sai",""))</f>
      </c>
    </row>
    <row r="112" spans="1:13" s="82" customFormat="1" ht="34.5" customHeight="1">
      <c r="A112" s="99">
        <v>29</v>
      </c>
      <c r="B112" s="159">
        <v>15</v>
      </c>
      <c r="C112" s="113">
        <v>44291</v>
      </c>
      <c r="D112" s="103">
        <v>13</v>
      </c>
      <c r="E112" s="113">
        <v>44473</v>
      </c>
      <c r="F112" s="96" t="s">
        <v>212</v>
      </c>
      <c r="G112" s="103" t="s">
        <v>644</v>
      </c>
      <c r="H112" s="104">
        <v>761960</v>
      </c>
      <c r="I112" s="104">
        <v>0</v>
      </c>
      <c r="J112" s="230">
        <f t="shared" si="4"/>
        <v>761960</v>
      </c>
      <c r="K112" s="97" t="s">
        <v>196</v>
      </c>
      <c r="L112" s="231"/>
      <c r="M112" s="344">
        <f>IF(AND(J112=0,K112=Nguyen_nhan!$B$3),"Đúng",IF(AND(J112&lt;&gt;0,K112=Nguyen_nhan!$B$3),"Sai",""))</f>
      </c>
    </row>
    <row r="113" spans="1:13" s="82" customFormat="1" ht="34.5" customHeight="1">
      <c r="A113" s="99">
        <v>30</v>
      </c>
      <c r="B113" s="159">
        <v>93</v>
      </c>
      <c r="C113" s="113">
        <v>44547</v>
      </c>
      <c r="D113" s="103">
        <v>291</v>
      </c>
      <c r="E113" s="113">
        <v>44621</v>
      </c>
      <c r="F113" s="96" t="s">
        <v>50</v>
      </c>
      <c r="G113" s="103" t="s">
        <v>708</v>
      </c>
      <c r="H113" s="104">
        <v>96554</v>
      </c>
      <c r="I113" s="104">
        <v>0</v>
      </c>
      <c r="J113" s="230">
        <f t="shared" si="4"/>
        <v>96554</v>
      </c>
      <c r="K113" s="97" t="s">
        <v>196</v>
      </c>
      <c r="L113" s="231"/>
      <c r="M113" s="344">
        <f>IF(AND(J113=0,K113=Nguyen_nhan!$B$3),"Đúng",IF(AND(J113&lt;&gt;0,K113=Nguyen_nhan!$B$3),"Sai",""))</f>
      </c>
    </row>
    <row r="114" spans="1:13" s="82" customFormat="1" ht="34.5" customHeight="1">
      <c r="A114" s="99">
        <v>31</v>
      </c>
      <c r="B114" s="159" t="s">
        <v>348</v>
      </c>
      <c r="C114" s="113">
        <v>44294</v>
      </c>
      <c r="D114" s="103">
        <v>456</v>
      </c>
      <c r="E114" s="113">
        <v>44354</v>
      </c>
      <c r="F114" s="96" t="s">
        <v>52</v>
      </c>
      <c r="G114" s="103" t="s">
        <v>645</v>
      </c>
      <c r="H114" s="104">
        <v>105112</v>
      </c>
      <c r="I114" s="104">
        <v>0</v>
      </c>
      <c r="J114" s="230">
        <f t="shared" si="4"/>
        <v>105112</v>
      </c>
      <c r="K114" s="97" t="s">
        <v>196</v>
      </c>
      <c r="L114" s="231"/>
      <c r="M114" s="344">
        <f>IF(AND(J114=0,K114=Nguyen_nhan!$B$3),"Đúng",IF(AND(J114&lt;&gt;0,K114=Nguyen_nhan!$B$3),"Sai",""))</f>
      </c>
    </row>
    <row r="115" spans="1:13" s="82" customFormat="1" ht="34.5" customHeight="1">
      <c r="A115" s="99">
        <v>32</v>
      </c>
      <c r="B115" s="159">
        <v>16</v>
      </c>
      <c r="C115" s="113">
        <v>44799</v>
      </c>
      <c r="D115" s="103">
        <v>197</v>
      </c>
      <c r="E115" s="113">
        <v>44970</v>
      </c>
      <c r="F115" s="96" t="s">
        <v>27</v>
      </c>
      <c r="G115" s="103" t="s">
        <v>728</v>
      </c>
      <c r="H115" s="104">
        <v>222658</v>
      </c>
      <c r="I115" s="104">
        <v>0</v>
      </c>
      <c r="J115" s="230">
        <f t="shared" si="4"/>
        <v>222658</v>
      </c>
      <c r="K115" s="97" t="s">
        <v>196</v>
      </c>
      <c r="L115" s="231"/>
      <c r="M115" s="344">
        <f>IF(AND(J115=0,K115=Nguyen_nhan!$B$3),"Đúng",IF(AND(J115&lt;&gt;0,K115=Nguyen_nhan!$B$3),"Sai",""))</f>
      </c>
    </row>
    <row r="116" spans="1:13" s="82" customFormat="1" ht="34.5" customHeight="1">
      <c r="A116" s="99">
        <v>33</v>
      </c>
      <c r="B116" s="159">
        <v>18</v>
      </c>
      <c r="C116" s="113">
        <v>44809</v>
      </c>
      <c r="D116" s="103">
        <v>198</v>
      </c>
      <c r="E116" s="113">
        <v>44970</v>
      </c>
      <c r="F116" s="96" t="s">
        <v>36</v>
      </c>
      <c r="G116" s="103" t="s">
        <v>729</v>
      </c>
      <c r="H116" s="104">
        <v>419942</v>
      </c>
      <c r="I116" s="104">
        <v>0</v>
      </c>
      <c r="J116" s="230">
        <f t="shared" si="4"/>
        <v>419942</v>
      </c>
      <c r="K116" s="97" t="s">
        <v>196</v>
      </c>
      <c r="L116" s="231"/>
      <c r="M116" s="344">
        <f>IF(AND(J116=0,K116=Nguyen_nhan!$B$3),"Đúng",IF(AND(J116&lt;&gt;0,K116=Nguyen_nhan!$B$3),"Sai",""))</f>
      </c>
    </row>
    <row r="117" spans="1:13" s="82" customFormat="1" ht="34.5" customHeight="1">
      <c r="A117" s="99">
        <v>34</v>
      </c>
      <c r="B117" s="159" t="s">
        <v>642</v>
      </c>
      <c r="C117" s="113">
        <v>44308</v>
      </c>
      <c r="D117" s="103">
        <v>181</v>
      </c>
      <c r="E117" s="113">
        <v>44536</v>
      </c>
      <c r="F117" s="96" t="s">
        <v>36</v>
      </c>
      <c r="G117" s="103" t="s">
        <v>709</v>
      </c>
      <c r="H117" s="104">
        <v>335672</v>
      </c>
      <c r="I117" s="104">
        <v>0</v>
      </c>
      <c r="J117" s="230">
        <f t="shared" si="4"/>
        <v>335672</v>
      </c>
      <c r="K117" s="97" t="s">
        <v>196</v>
      </c>
      <c r="L117" s="231"/>
      <c r="M117" s="344">
        <f>IF(AND(J117=0,K117=Nguyen_nhan!$B$3),"Đúng",IF(AND(J117&lt;&gt;0,K117=Nguyen_nhan!$B$3),"Sai",""))</f>
      </c>
    </row>
    <row r="118" spans="1:13" s="82" customFormat="1" ht="34.5" customHeight="1">
      <c r="A118" s="99">
        <v>35</v>
      </c>
      <c r="B118" s="159" t="s">
        <v>351</v>
      </c>
      <c r="C118" s="113">
        <v>43006</v>
      </c>
      <c r="D118" s="103">
        <v>214</v>
      </c>
      <c r="E118" s="113">
        <v>43229</v>
      </c>
      <c r="F118" s="96" t="s">
        <v>52</v>
      </c>
      <c r="G118" s="103" t="s">
        <v>380</v>
      </c>
      <c r="H118" s="104">
        <v>257652</v>
      </c>
      <c r="I118" s="104">
        <v>0</v>
      </c>
      <c r="J118" s="230">
        <f t="shared" si="4"/>
        <v>257652</v>
      </c>
      <c r="K118" s="97" t="s">
        <v>196</v>
      </c>
      <c r="L118" s="231"/>
      <c r="M118" s="344">
        <f>IF(AND(J118=0,K118=Nguyen_nhan!$B$3),"Đúng",IF(AND(J118&lt;&gt;0,K118=Nguyen_nhan!$B$3),"Sai",""))</f>
      </c>
    </row>
    <row r="119" spans="1:13" s="82" customFormat="1" ht="34.5" customHeight="1">
      <c r="A119" s="99">
        <v>36</v>
      </c>
      <c r="B119" s="159">
        <v>37</v>
      </c>
      <c r="C119" s="113">
        <v>43395</v>
      </c>
      <c r="D119" s="103">
        <v>219</v>
      </c>
      <c r="E119" s="113">
        <v>43865</v>
      </c>
      <c r="F119" s="96" t="s">
        <v>52</v>
      </c>
      <c r="G119" s="103" t="s">
        <v>800</v>
      </c>
      <c r="H119" s="104">
        <v>387791</v>
      </c>
      <c r="I119" s="104">
        <v>0</v>
      </c>
      <c r="J119" s="230">
        <f t="shared" si="4"/>
        <v>387791</v>
      </c>
      <c r="K119" s="97" t="s">
        <v>316</v>
      </c>
      <c r="L119" s="231"/>
      <c r="M119" s="344">
        <f>IF(AND(J119=0,K119=Nguyen_nhan!$B$3),"Đúng",IF(AND(J119&lt;&gt;0,K119=Nguyen_nhan!$B$3),"Sai",""))</f>
      </c>
    </row>
    <row r="120" spans="1:13" s="82" customFormat="1" ht="34.5" customHeight="1">
      <c r="A120" s="99">
        <v>37</v>
      </c>
      <c r="B120" s="159" t="s">
        <v>348</v>
      </c>
      <c r="C120" s="113">
        <v>43791</v>
      </c>
      <c r="D120" s="103">
        <v>288</v>
      </c>
      <c r="E120" s="113">
        <v>43906</v>
      </c>
      <c r="F120" s="96" t="s">
        <v>52</v>
      </c>
      <c r="G120" s="103" t="s">
        <v>826</v>
      </c>
      <c r="H120" s="104">
        <v>474727</v>
      </c>
      <c r="I120" s="104">
        <v>0</v>
      </c>
      <c r="J120" s="230">
        <f t="shared" si="4"/>
        <v>474727</v>
      </c>
      <c r="K120" s="97" t="s">
        <v>316</v>
      </c>
      <c r="L120" s="231"/>
      <c r="M120" s="344">
        <f>IF(AND(J120=0,K120=Nguyen_nhan!$B$3),"Đúng",IF(AND(J120&lt;&gt;0,K120=Nguyen_nhan!$B$3),"Sai",""))</f>
      </c>
    </row>
    <row r="121" spans="1:13" s="82" customFormat="1" ht="34.5" customHeight="1">
      <c r="A121" s="99">
        <v>38</v>
      </c>
      <c r="B121" s="159">
        <v>76</v>
      </c>
      <c r="C121" s="113">
        <v>43738</v>
      </c>
      <c r="D121" s="103">
        <v>31</v>
      </c>
      <c r="E121" s="113">
        <v>44111</v>
      </c>
      <c r="F121" s="96" t="s">
        <v>49</v>
      </c>
      <c r="G121" s="103" t="s">
        <v>389</v>
      </c>
      <c r="H121" s="104">
        <v>60398</v>
      </c>
      <c r="I121" s="104">
        <f>14000+2500</f>
        <v>16500</v>
      </c>
      <c r="J121" s="230">
        <f t="shared" si="4"/>
        <v>43898</v>
      </c>
      <c r="K121" s="97" t="s">
        <v>196</v>
      </c>
      <c r="L121" s="231"/>
      <c r="M121" s="344">
        <f>IF(AND(J121=0,K121=Nguyen_nhan!$B$3),"Đúng",IF(AND(J121&lt;&gt;0,K121=Nguyen_nhan!$B$3),"Sai",""))</f>
      </c>
    </row>
    <row r="122" spans="1:13" s="82" customFormat="1" ht="34.5" customHeight="1">
      <c r="A122" s="99">
        <v>39</v>
      </c>
      <c r="B122" s="159">
        <v>57</v>
      </c>
      <c r="C122" s="113">
        <v>44047</v>
      </c>
      <c r="D122" s="103">
        <v>85</v>
      </c>
      <c r="E122" s="113">
        <v>44117</v>
      </c>
      <c r="F122" s="96" t="s">
        <v>43</v>
      </c>
      <c r="G122" s="103" t="s">
        <v>390</v>
      </c>
      <c r="H122" s="104">
        <v>501800</v>
      </c>
      <c r="I122" s="104">
        <v>0</v>
      </c>
      <c r="J122" s="230">
        <f t="shared" si="4"/>
        <v>501800</v>
      </c>
      <c r="K122" s="97" t="s">
        <v>196</v>
      </c>
      <c r="L122" s="231"/>
      <c r="M122" s="344">
        <f>IF(AND(J122=0,K122=Nguyen_nhan!$B$3),"Đúng",IF(AND(J122&lt;&gt;0,K122=Nguyen_nhan!$B$3),"Sai",""))</f>
      </c>
    </row>
    <row r="123" spans="1:13" s="82" customFormat="1" ht="34.5" customHeight="1">
      <c r="A123" s="99">
        <v>40</v>
      </c>
      <c r="B123" s="159">
        <v>19</v>
      </c>
      <c r="C123" s="113">
        <v>44081</v>
      </c>
      <c r="D123" s="103">
        <v>107</v>
      </c>
      <c r="E123" s="113">
        <v>44131</v>
      </c>
      <c r="F123" s="96" t="s">
        <v>36</v>
      </c>
      <c r="G123" s="103" t="s">
        <v>391</v>
      </c>
      <c r="H123" s="104">
        <v>821538</v>
      </c>
      <c r="I123" s="104">
        <v>0</v>
      </c>
      <c r="J123" s="230">
        <f t="shared" si="4"/>
        <v>821538</v>
      </c>
      <c r="K123" s="97" t="s">
        <v>196</v>
      </c>
      <c r="L123" s="231"/>
      <c r="M123" s="344">
        <f>IF(AND(J123=0,K123=Nguyen_nhan!$B$3),"Đúng",IF(AND(J123&lt;&gt;0,K123=Nguyen_nhan!$B$3),"Sai",""))</f>
      </c>
    </row>
    <row r="124" spans="1:13" s="82" customFormat="1" ht="34.5" customHeight="1">
      <c r="A124" s="99">
        <v>41</v>
      </c>
      <c r="B124" s="159">
        <v>47</v>
      </c>
      <c r="C124" s="113">
        <v>43760</v>
      </c>
      <c r="D124" s="103">
        <v>202</v>
      </c>
      <c r="E124" s="113">
        <v>44208</v>
      </c>
      <c r="F124" s="96" t="s">
        <v>36</v>
      </c>
      <c r="G124" s="103" t="s">
        <v>399</v>
      </c>
      <c r="H124" s="104">
        <v>595315</v>
      </c>
      <c r="I124" s="104">
        <v>0</v>
      </c>
      <c r="J124" s="230">
        <f t="shared" si="4"/>
        <v>595315</v>
      </c>
      <c r="K124" s="97" t="s">
        <v>316</v>
      </c>
      <c r="L124" s="231"/>
      <c r="M124" s="344">
        <f>IF(AND(J124=0,K124=Nguyen_nhan!$B$3),"Đúng",IF(AND(J124&lt;&gt;0,K124=Nguyen_nhan!$B$3),"Sai",""))</f>
      </c>
    </row>
    <row r="125" spans="1:13" s="82" customFormat="1" ht="34.5" customHeight="1">
      <c r="A125" s="99">
        <v>42</v>
      </c>
      <c r="B125" s="159" t="s">
        <v>370</v>
      </c>
      <c r="C125" s="113">
        <v>44210</v>
      </c>
      <c r="D125" s="103">
        <v>382</v>
      </c>
      <c r="E125" s="113">
        <v>44321</v>
      </c>
      <c r="F125" s="96" t="s">
        <v>212</v>
      </c>
      <c r="G125" s="103" t="s">
        <v>606</v>
      </c>
      <c r="H125" s="104">
        <v>202647</v>
      </c>
      <c r="I125" s="104">
        <v>0</v>
      </c>
      <c r="J125" s="230">
        <f t="shared" si="4"/>
        <v>202647</v>
      </c>
      <c r="K125" s="97" t="s">
        <v>196</v>
      </c>
      <c r="L125" s="231"/>
      <c r="M125" s="344">
        <f>IF(AND(J125=0,K125=Nguyen_nhan!$B$3),"Đúng",IF(AND(J125&lt;&gt;0,K125=Nguyen_nhan!$B$3),"Sai",""))</f>
      </c>
    </row>
    <row r="126" spans="1:13" s="82" customFormat="1" ht="34.5" customHeight="1">
      <c r="A126" s="99">
        <v>43</v>
      </c>
      <c r="B126" s="159" t="s">
        <v>433</v>
      </c>
      <c r="C126" s="113">
        <v>44216</v>
      </c>
      <c r="D126" s="103">
        <v>385</v>
      </c>
      <c r="E126" s="113">
        <v>44321</v>
      </c>
      <c r="F126" s="96" t="s">
        <v>212</v>
      </c>
      <c r="G126" s="103" t="s">
        <v>607</v>
      </c>
      <c r="H126" s="104">
        <v>174608</v>
      </c>
      <c r="I126" s="104">
        <v>0</v>
      </c>
      <c r="J126" s="230">
        <f t="shared" si="4"/>
        <v>174608</v>
      </c>
      <c r="K126" s="97" t="s">
        <v>196</v>
      </c>
      <c r="L126" s="231"/>
      <c r="M126" s="344">
        <f>IF(AND(J126=0,K126=Nguyen_nhan!$B$3),"Đúng",IF(AND(J126&lt;&gt;0,K126=Nguyen_nhan!$B$3),"Sai",""))</f>
      </c>
    </row>
    <row r="127" spans="1:13" s="82" customFormat="1" ht="34.5" customHeight="1">
      <c r="A127" s="99">
        <v>44</v>
      </c>
      <c r="B127" s="159">
        <v>38</v>
      </c>
      <c r="C127" s="113">
        <v>44337</v>
      </c>
      <c r="D127" s="103">
        <v>475</v>
      </c>
      <c r="E127" s="113">
        <v>44361</v>
      </c>
      <c r="F127" s="96" t="s">
        <v>52</v>
      </c>
      <c r="G127" s="103" t="s">
        <v>608</v>
      </c>
      <c r="H127" s="104">
        <v>162238</v>
      </c>
      <c r="I127" s="104">
        <v>0</v>
      </c>
      <c r="J127" s="230">
        <f t="shared" si="4"/>
        <v>162238</v>
      </c>
      <c r="K127" s="97" t="s">
        <v>196</v>
      </c>
      <c r="L127" s="231"/>
      <c r="M127" s="344">
        <f>IF(AND(J127=0,K127=Nguyen_nhan!$B$3),"Đúng",IF(AND(J127&lt;&gt;0,K127=Nguyen_nhan!$B$3),"Sai",""))</f>
      </c>
    </row>
    <row r="128" spans="1:13" s="82" customFormat="1" ht="34.5" customHeight="1">
      <c r="A128" s="99">
        <v>45</v>
      </c>
      <c r="B128" s="159" t="s">
        <v>350</v>
      </c>
      <c r="C128" s="113">
        <v>44334</v>
      </c>
      <c r="D128" s="103">
        <v>23</v>
      </c>
      <c r="E128" s="113">
        <v>44473</v>
      </c>
      <c r="F128" s="96" t="s">
        <v>212</v>
      </c>
      <c r="G128" s="103" t="s">
        <v>646</v>
      </c>
      <c r="H128" s="104">
        <v>1404675</v>
      </c>
      <c r="I128" s="104">
        <v>0</v>
      </c>
      <c r="J128" s="230">
        <f t="shared" si="4"/>
        <v>1404675</v>
      </c>
      <c r="K128" s="97" t="s">
        <v>196</v>
      </c>
      <c r="L128" s="231"/>
      <c r="M128" s="344">
        <f>IF(AND(J128=0,K128=Nguyen_nhan!$B$3),"Đúng",IF(AND(J128&lt;&gt;0,K128=Nguyen_nhan!$B$3),"Sai",""))</f>
      </c>
    </row>
    <row r="129" spans="1:13" s="82" customFormat="1" ht="34.5" customHeight="1">
      <c r="A129" s="99">
        <v>46</v>
      </c>
      <c r="B129" s="159" t="s">
        <v>350</v>
      </c>
      <c r="C129" s="113">
        <v>44019</v>
      </c>
      <c r="D129" s="103">
        <v>24</v>
      </c>
      <c r="E129" s="113">
        <v>44475</v>
      </c>
      <c r="F129" s="96" t="s">
        <v>50</v>
      </c>
      <c r="G129" s="103" t="s">
        <v>646</v>
      </c>
      <c r="H129" s="104">
        <v>320101</v>
      </c>
      <c r="I129" s="104">
        <v>0</v>
      </c>
      <c r="J129" s="230">
        <f t="shared" si="4"/>
        <v>320101</v>
      </c>
      <c r="K129" s="97" t="s">
        <v>196</v>
      </c>
      <c r="L129" s="231"/>
      <c r="M129" s="344">
        <f>IF(AND(J129=0,K129=Nguyen_nhan!$B$3),"Đúng",IF(AND(J129&lt;&gt;0,K129=Nguyen_nhan!$B$3),"Sai",""))</f>
      </c>
    </row>
    <row r="130" spans="1:13" s="82" customFormat="1" ht="34.5" customHeight="1">
      <c r="A130" s="99">
        <v>47</v>
      </c>
      <c r="B130" s="159">
        <v>12</v>
      </c>
      <c r="C130" s="113">
        <v>44337</v>
      </c>
      <c r="D130" s="103">
        <v>35</v>
      </c>
      <c r="E130" s="113">
        <v>44480</v>
      </c>
      <c r="F130" s="96" t="s">
        <v>52</v>
      </c>
      <c r="G130" s="103" t="s">
        <v>801</v>
      </c>
      <c r="H130" s="104">
        <v>197125</v>
      </c>
      <c r="I130" s="104">
        <v>0</v>
      </c>
      <c r="J130" s="230">
        <f t="shared" si="4"/>
        <v>197125</v>
      </c>
      <c r="K130" s="97" t="s">
        <v>196</v>
      </c>
      <c r="L130" s="231"/>
      <c r="M130" s="344">
        <f>IF(AND(J130=0,K130=Nguyen_nhan!$B$3),"Đúng",IF(AND(J130&lt;&gt;0,K130=Nguyen_nhan!$B$3),"Sai",""))</f>
      </c>
    </row>
    <row r="131" spans="1:13" s="82" customFormat="1" ht="34.5" customHeight="1">
      <c r="A131" s="99">
        <v>48</v>
      </c>
      <c r="B131" s="159">
        <v>14</v>
      </c>
      <c r="C131" s="113">
        <v>44375</v>
      </c>
      <c r="D131" s="103">
        <v>38</v>
      </c>
      <c r="E131" s="113">
        <v>44480</v>
      </c>
      <c r="F131" s="96" t="s">
        <v>52</v>
      </c>
      <c r="G131" s="103" t="s">
        <v>829</v>
      </c>
      <c r="H131" s="104">
        <v>181215</v>
      </c>
      <c r="I131" s="104">
        <v>181215</v>
      </c>
      <c r="J131" s="230">
        <f t="shared" si="4"/>
        <v>0</v>
      </c>
      <c r="K131" s="97" t="s">
        <v>203</v>
      </c>
      <c r="L131" s="231"/>
      <c r="M131" s="344" t="str">
        <f>IF(AND(J131=0,K131=Nguyen_nhan!$B$3),"Đúng",IF(AND(J131&lt;&gt;0,K131=Nguyen_nhan!$B$3),"Sai",""))</f>
        <v>Đúng</v>
      </c>
    </row>
    <row r="132" spans="1:13" s="82" customFormat="1" ht="34.5" customHeight="1">
      <c r="A132" s="99">
        <v>49</v>
      </c>
      <c r="B132" s="159">
        <v>91</v>
      </c>
      <c r="C132" s="113">
        <v>44188</v>
      </c>
      <c r="D132" s="103">
        <v>60</v>
      </c>
      <c r="E132" s="113">
        <v>44487</v>
      </c>
      <c r="F132" s="96" t="s">
        <v>647</v>
      </c>
      <c r="G132" s="103" t="s">
        <v>392</v>
      </c>
      <c r="H132" s="104">
        <v>22625</v>
      </c>
      <c r="I132" s="104">
        <v>0</v>
      </c>
      <c r="J132" s="230">
        <f t="shared" si="4"/>
        <v>22625</v>
      </c>
      <c r="K132" s="97" t="s">
        <v>316</v>
      </c>
      <c r="L132" s="231"/>
      <c r="M132" s="344">
        <f>IF(AND(J132=0,K132=Nguyen_nhan!$B$3),"Đúng",IF(AND(J132&lt;&gt;0,K132=Nguyen_nhan!$B$3),"Sai",""))</f>
      </c>
    </row>
    <row r="133" spans="1:13" s="82" customFormat="1" ht="34.5" customHeight="1">
      <c r="A133" s="99">
        <v>50</v>
      </c>
      <c r="B133" s="159" t="s">
        <v>370</v>
      </c>
      <c r="C133" s="113">
        <v>43493</v>
      </c>
      <c r="D133" s="103">
        <v>61</v>
      </c>
      <c r="E133" s="113">
        <v>44487</v>
      </c>
      <c r="F133" s="96" t="s">
        <v>27</v>
      </c>
      <c r="G133" s="103" t="s">
        <v>684</v>
      </c>
      <c r="H133" s="104">
        <v>15270</v>
      </c>
      <c r="I133" s="104">
        <v>0</v>
      </c>
      <c r="J133" s="230">
        <f t="shared" si="4"/>
        <v>15270</v>
      </c>
      <c r="K133" s="97" t="s">
        <v>316</v>
      </c>
      <c r="L133" s="231"/>
      <c r="M133" s="344">
        <f>IF(AND(J133=0,K133=Nguyen_nhan!$B$3),"Đúng",IF(AND(J133&lt;&gt;0,K133=Nguyen_nhan!$B$3),"Sai",""))</f>
      </c>
    </row>
    <row r="134" spans="1:13" s="82" customFormat="1" ht="34.5" customHeight="1">
      <c r="A134" s="99">
        <v>51</v>
      </c>
      <c r="B134" s="249" t="s">
        <v>351</v>
      </c>
      <c r="C134" s="245">
        <v>44288</v>
      </c>
      <c r="D134" s="250">
        <v>27</v>
      </c>
      <c r="E134" s="245">
        <v>44851</v>
      </c>
      <c r="F134" s="247" t="s">
        <v>49</v>
      </c>
      <c r="G134" s="250" t="s">
        <v>730</v>
      </c>
      <c r="H134" s="248">
        <v>27200</v>
      </c>
      <c r="I134" s="248">
        <v>0</v>
      </c>
      <c r="J134" s="230">
        <f t="shared" si="4"/>
        <v>27200</v>
      </c>
      <c r="K134" s="250" t="s">
        <v>196</v>
      </c>
      <c r="L134" s="231"/>
      <c r="M134" s="344">
        <f>IF(AND(J134=0,K134=Nguyen_nhan!$B$3),"Đúng",IF(AND(J134&lt;&gt;0,K134=Nguyen_nhan!$B$3),"Sai",""))</f>
      </c>
    </row>
    <row r="135" spans="1:13" s="82" customFormat="1" ht="34.5" customHeight="1">
      <c r="A135" s="99">
        <v>52</v>
      </c>
      <c r="B135" s="159" t="s">
        <v>350</v>
      </c>
      <c r="C135" s="113">
        <v>44291</v>
      </c>
      <c r="D135" s="103">
        <v>141</v>
      </c>
      <c r="E135" s="113">
        <v>44508</v>
      </c>
      <c r="F135" s="96" t="s">
        <v>212</v>
      </c>
      <c r="G135" s="103" t="s">
        <v>802</v>
      </c>
      <c r="H135" s="104">
        <v>763856</v>
      </c>
      <c r="I135" s="104">
        <v>0</v>
      </c>
      <c r="J135" s="230">
        <f t="shared" si="4"/>
        <v>763856</v>
      </c>
      <c r="K135" s="97" t="s">
        <v>196</v>
      </c>
      <c r="L135" s="231"/>
      <c r="M135" s="344">
        <f>IF(AND(J135=0,K135=Nguyen_nhan!$B$3),"Đúng",IF(AND(J135&lt;&gt;0,K135=Nguyen_nhan!$B$3),"Sai",""))</f>
      </c>
    </row>
    <row r="136" spans="1:13" s="82" customFormat="1" ht="34.5" customHeight="1">
      <c r="A136" s="99">
        <v>53</v>
      </c>
      <c r="B136" s="159">
        <v>71</v>
      </c>
      <c r="C136" s="113">
        <v>44411</v>
      </c>
      <c r="D136" s="103">
        <v>151</v>
      </c>
      <c r="E136" s="113">
        <v>44515</v>
      </c>
      <c r="F136" s="96" t="s">
        <v>212</v>
      </c>
      <c r="G136" s="103" t="s">
        <v>803</v>
      </c>
      <c r="H136" s="104">
        <v>223795</v>
      </c>
      <c r="I136" s="104">
        <v>0</v>
      </c>
      <c r="J136" s="230">
        <f t="shared" si="4"/>
        <v>223795</v>
      </c>
      <c r="K136" s="97" t="s">
        <v>196</v>
      </c>
      <c r="L136" s="231"/>
      <c r="M136" s="344">
        <f>IF(AND(J136=0,K136=Nguyen_nhan!$B$3),"Đúng",IF(AND(J136&lt;&gt;0,K136=Nguyen_nhan!$B$3),"Sai",""))</f>
      </c>
    </row>
    <row r="137" spans="1:13" s="82" customFormat="1" ht="34.5" customHeight="1">
      <c r="A137" s="99">
        <v>54</v>
      </c>
      <c r="B137" s="159">
        <v>38</v>
      </c>
      <c r="C137" s="113">
        <v>41508</v>
      </c>
      <c r="D137" s="103">
        <v>118</v>
      </c>
      <c r="E137" s="113">
        <v>43158</v>
      </c>
      <c r="F137" s="96" t="s">
        <v>53</v>
      </c>
      <c r="G137" s="103" t="s">
        <v>648</v>
      </c>
      <c r="H137" s="104">
        <v>31990</v>
      </c>
      <c r="I137" s="104">
        <v>0</v>
      </c>
      <c r="J137" s="230">
        <f t="shared" si="4"/>
        <v>31990</v>
      </c>
      <c r="K137" s="97" t="s">
        <v>316</v>
      </c>
      <c r="L137" s="231"/>
      <c r="M137" s="344">
        <f>IF(AND(J137=0,K137=Nguyen_nhan!$B$3),"Đúng",IF(AND(J137&lt;&gt;0,K137=Nguyen_nhan!$B$3),"Sai",""))</f>
      </c>
    </row>
    <row r="138" spans="1:13" s="82" customFormat="1" ht="34.5" customHeight="1">
      <c r="A138" s="99">
        <v>55</v>
      </c>
      <c r="B138" s="159">
        <v>14</v>
      </c>
      <c r="C138" s="113">
        <v>44054</v>
      </c>
      <c r="D138" s="103">
        <v>195</v>
      </c>
      <c r="E138" s="113">
        <v>44963</v>
      </c>
      <c r="F138" s="96" t="s">
        <v>27</v>
      </c>
      <c r="G138" s="103" t="s">
        <v>391</v>
      </c>
      <c r="H138" s="104">
        <v>1158469</v>
      </c>
      <c r="I138" s="104">
        <v>0</v>
      </c>
      <c r="J138" s="230">
        <f t="shared" si="4"/>
        <v>1158469</v>
      </c>
      <c r="K138" s="97" t="s">
        <v>196</v>
      </c>
      <c r="L138" s="231"/>
      <c r="M138" s="344">
        <f>IF(AND(J138=0,K138=Nguyen_nhan!$B$3),"Đúng",IF(AND(J138&lt;&gt;0,K138=Nguyen_nhan!$B$3),"Sai",""))</f>
      </c>
    </row>
    <row r="139" spans="1:13" s="82" customFormat="1" ht="34.5" customHeight="1">
      <c r="A139" s="99">
        <v>56</v>
      </c>
      <c r="B139" s="159" t="s">
        <v>348</v>
      </c>
      <c r="C139" s="113">
        <v>44097</v>
      </c>
      <c r="D139" s="103">
        <v>108</v>
      </c>
      <c r="E139" s="113">
        <v>44131</v>
      </c>
      <c r="F139" s="96" t="s">
        <v>53</v>
      </c>
      <c r="G139" s="103" t="s">
        <v>385</v>
      </c>
      <c r="H139" s="104">
        <v>197564</v>
      </c>
      <c r="I139" s="104">
        <v>0</v>
      </c>
      <c r="J139" s="230">
        <f t="shared" si="4"/>
        <v>197564</v>
      </c>
      <c r="K139" s="97" t="s">
        <v>316</v>
      </c>
      <c r="L139" s="231"/>
      <c r="M139" s="344">
        <f>IF(AND(J139=0,K139=Nguyen_nhan!$B$3),"Đúng",IF(AND(J139&lt;&gt;0,K139=Nguyen_nhan!$B$3),"Sai",""))</f>
      </c>
    </row>
    <row r="140" spans="1:13" s="82" customFormat="1" ht="34.5" customHeight="1">
      <c r="A140" s="99">
        <v>57</v>
      </c>
      <c r="B140" s="159" t="s">
        <v>349</v>
      </c>
      <c r="C140" s="113">
        <v>44259</v>
      </c>
      <c r="D140" s="103">
        <v>49</v>
      </c>
      <c r="E140" s="113">
        <v>44480</v>
      </c>
      <c r="F140" s="96" t="s">
        <v>212</v>
      </c>
      <c r="G140" s="103" t="s">
        <v>649</v>
      </c>
      <c r="H140" s="104">
        <v>1142350</v>
      </c>
      <c r="I140" s="104">
        <v>750018</v>
      </c>
      <c r="J140" s="230">
        <f t="shared" si="4"/>
        <v>392332</v>
      </c>
      <c r="K140" s="97" t="s">
        <v>316</v>
      </c>
      <c r="L140" s="231"/>
      <c r="M140" s="344">
        <f>IF(AND(J140=0,K140=Nguyen_nhan!$B$3),"Đúng",IF(AND(J140&lt;&gt;0,K140=Nguyen_nhan!$B$3),"Sai",""))</f>
      </c>
    </row>
    <row r="141" spans="1:13" s="82" customFormat="1" ht="34.5" customHeight="1">
      <c r="A141" s="99">
        <v>58</v>
      </c>
      <c r="B141" s="159" t="s">
        <v>350</v>
      </c>
      <c r="C141" s="113">
        <v>43766</v>
      </c>
      <c r="D141" s="103">
        <v>307</v>
      </c>
      <c r="E141" s="113">
        <v>43914</v>
      </c>
      <c r="F141" s="96" t="s">
        <v>27</v>
      </c>
      <c r="G141" s="103" t="s">
        <v>625</v>
      </c>
      <c r="H141" s="104">
        <v>190621</v>
      </c>
      <c r="I141" s="104">
        <v>0</v>
      </c>
      <c r="J141" s="230">
        <f t="shared" si="4"/>
        <v>190621</v>
      </c>
      <c r="K141" s="97" t="s">
        <v>316</v>
      </c>
      <c r="L141" s="231"/>
      <c r="M141" s="344">
        <f>IF(AND(J141=0,K141=Nguyen_nhan!$B$3),"Đúng",IF(AND(J141&lt;&gt;0,K141=Nguyen_nhan!$B$3),"Sai",""))</f>
      </c>
    </row>
    <row r="142" spans="1:13" s="82" customFormat="1" ht="34.5" customHeight="1">
      <c r="A142" s="99">
        <v>59</v>
      </c>
      <c r="B142" s="159" t="s">
        <v>363</v>
      </c>
      <c r="C142" s="113">
        <v>44102</v>
      </c>
      <c r="D142" s="103">
        <v>90</v>
      </c>
      <c r="E142" s="113">
        <v>44123</v>
      </c>
      <c r="F142" s="96" t="s">
        <v>53</v>
      </c>
      <c r="G142" s="103" t="s">
        <v>393</v>
      </c>
      <c r="H142" s="104">
        <v>1606890</v>
      </c>
      <c r="I142" s="104">
        <v>1111363</v>
      </c>
      <c r="J142" s="230">
        <f t="shared" si="4"/>
        <v>495527</v>
      </c>
      <c r="K142" s="97" t="s">
        <v>316</v>
      </c>
      <c r="L142" s="231"/>
      <c r="M142" s="344">
        <f>IF(AND(J142=0,K142=Nguyen_nhan!$B$3),"Đúng",IF(AND(J142&lt;&gt;0,K142=Nguyen_nhan!$B$3),"Sai",""))</f>
      </c>
    </row>
    <row r="143" spans="1:13" s="82" customFormat="1" ht="34.5" customHeight="1">
      <c r="A143" s="99">
        <v>60</v>
      </c>
      <c r="B143" s="159" t="s">
        <v>373</v>
      </c>
      <c r="C143" s="113">
        <v>44071</v>
      </c>
      <c r="D143" s="103">
        <v>97</v>
      </c>
      <c r="E143" s="113">
        <v>44125</v>
      </c>
      <c r="F143" s="96" t="s">
        <v>53</v>
      </c>
      <c r="G143" s="103" t="s">
        <v>394</v>
      </c>
      <c r="H143" s="104">
        <v>1205011</v>
      </c>
      <c r="I143" s="104">
        <v>0</v>
      </c>
      <c r="J143" s="230">
        <f t="shared" si="4"/>
        <v>1205011</v>
      </c>
      <c r="K143" s="97" t="s">
        <v>196</v>
      </c>
      <c r="L143" s="231"/>
      <c r="M143" s="344">
        <f>IF(AND(J143=0,K143=Nguyen_nhan!$B$3),"Đúng",IF(AND(J143&lt;&gt;0,K143=Nguyen_nhan!$B$3),"Sai",""))</f>
      </c>
    </row>
    <row r="144" spans="1:13" s="82" customFormat="1" ht="34.5" customHeight="1">
      <c r="A144" s="99">
        <v>61</v>
      </c>
      <c r="B144" s="159">
        <v>20</v>
      </c>
      <c r="C144" s="113">
        <v>44827</v>
      </c>
      <c r="D144" s="103">
        <v>200</v>
      </c>
      <c r="E144" s="113">
        <v>44970</v>
      </c>
      <c r="F144" s="96" t="s">
        <v>36</v>
      </c>
      <c r="G144" s="103" t="s">
        <v>731</v>
      </c>
      <c r="H144" s="104">
        <v>669598</v>
      </c>
      <c r="I144" s="104">
        <v>0</v>
      </c>
      <c r="J144" s="230">
        <f t="shared" si="4"/>
        <v>669598</v>
      </c>
      <c r="K144" s="250" t="s">
        <v>196</v>
      </c>
      <c r="L144" s="231"/>
      <c r="M144" s="344">
        <f>IF(AND(J144=0,K144=Nguyen_nhan!$B$3),"Đúng",IF(AND(J144&lt;&gt;0,K144=Nguyen_nhan!$B$3),"Sai",""))</f>
      </c>
    </row>
    <row r="145" spans="1:13" s="82" customFormat="1" ht="34.5" customHeight="1">
      <c r="A145" s="99">
        <v>62</v>
      </c>
      <c r="B145" s="159">
        <v>20</v>
      </c>
      <c r="C145" s="113">
        <v>44827</v>
      </c>
      <c r="D145" s="103">
        <v>201</v>
      </c>
      <c r="E145" s="113">
        <v>44970</v>
      </c>
      <c r="F145" s="96" t="s">
        <v>36</v>
      </c>
      <c r="G145" s="103" t="s">
        <v>732</v>
      </c>
      <c r="H145" s="104">
        <v>617014</v>
      </c>
      <c r="I145" s="104">
        <v>0</v>
      </c>
      <c r="J145" s="230">
        <f t="shared" si="4"/>
        <v>617014</v>
      </c>
      <c r="K145" s="250" t="s">
        <v>196</v>
      </c>
      <c r="L145" s="231"/>
      <c r="M145" s="344">
        <f>IF(AND(J145=0,K145=Nguyen_nhan!$B$3),"Đúng",IF(AND(J145&lt;&gt;0,K145=Nguyen_nhan!$B$3),"Sai",""))</f>
      </c>
    </row>
    <row r="146" spans="1:13" s="82" customFormat="1" ht="34.5" customHeight="1">
      <c r="A146" s="99">
        <v>63</v>
      </c>
      <c r="B146" s="159">
        <v>13</v>
      </c>
      <c r="C146" s="264">
        <v>44813</v>
      </c>
      <c r="D146" s="103">
        <v>228</v>
      </c>
      <c r="E146" s="268">
        <v>45020</v>
      </c>
      <c r="F146" s="96" t="s">
        <v>209</v>
      </c>
      <c r="G146" s="103" t="s">
        <v>397</v>
      </c>
      <c r="H146" s="104">
        <v>237193</v>
      </c>
      <c r="I146" s="104">
        <v>237193</v>
      </c>
      <c r="J146" s="230">
        <f t="shared" si="4"/>
        <v>0</v>
      </c>
      <c r="K146" s="250" t="s">
        <v>203</v>
      </c>
      <c r="L146" s="231"/>
      <c r="M146" s="344" t="str">
        <f>IF(AND(J146=0,K146=Nguyen_nhan!$B$3),"Đúng",IF(AND(J146&lt;&gt;0,K146=Nguyen_nhan!$B$3),"Sai",""))</f>
        <v>Đúng</v>
      </c>
    </row>
    <row r="147" spans="1:13" s="82" customFormat="1" ht="34.5" customHeight="1">
      <c r="A147" s="99">
        <v>64</v>
      </c>
      <c r="B147" s="159" t="s">
        <v>349</v>
      </c>
      <c r="C147" s="265">
        <v>44825</v>
      </c>
      <c r="D147" s="103">
        <v>229</v>
      </c>
      <c r="E147" s="263">
        <v>45020</v>
      </c>
      <c r="F147" s="96" t="s">
        <v>209</v>
      </c>
      <c r="G147" s="103" t="s">
        <v>804</v>
      </c>
      <c r="H147" s="104">
        <v>2390894</v>
      </c>
      <c r="I147" s="104">
        <v>2390894</v>
      </c>
      <c r="J147" s="230">
        <f t="shared" si="4"/>
        <v>0</v>
      </c>
      <c r="K147" s="250" t="s">
        <v>203</v>
      </c>
      <c r="L147" s="231"/>
      <c r="M147" s="344" t="str">
        <f>IF(AND(J147=0,K147=Nguyen_nhan!$B$3),"Đúng",IF(AND(J147&lt;&gt;0,K147=Nguyen_nhan!$B$3),"Sai",""))</f>
        <v>Đúng</v>
      </c>
    </row>
    <row r="148" spans="1:13" s="82" customFormat="1" ht="34.5" customHeight="1">
      <c r="A148" s="99">
        <v>65</v>
      </c>
      <c r="B148" s="249" t="s">
        <v>370</v>
      </c>
      <c r="C148" s="245">
        <v>44685</v>
      </c>
      <c r="D148" s="250">
        <v>53</v>
      </c>
      <c r="E148" s="245">
        <v>44858</v>
      </c>
      <c r="F148" s="247" t="s">
        <v>49</v>
      </c>
      <c r="G148" s="250" t="s">
        <v>733</v>
      </c>
      <c r="H148" s="248">
        <v>62749</v>
      </c>
      <c r="I148" s="248">
        <v>5000</v>
      </c>
      <c r="J148" s="230">
        <f t="shared" si="4"/>
        <v>57749</v>
      </c>
      <c r="K148" s="250" t="s">
        <v>196</v>
      </c>
      <c r="L148" s="231"/>
      <c r="M148" s="344">
        <f>IF(AND(J148=0,K148=Nguyen_nhan!$B$3),"Đúng",IF(AND(J148&lt;&gt;0,K148=Nguyen_nhan!$B$3),"Sai",""))</f>
      </c>
    </row>
    <row r="149" spans="1:13" s="82" customFormat="1" ht="34.5" customHeight="1">
      <c r="A149" s="99">
        <v>66</v>
      </c>
      <c r="B149" s="249">
        <v>15</v>
      </c>
      <c r="C149" s="245">
        <v>44826</v>
      </c>
      <c r="D149" s="250">
        <v>161</v>
      </c>
      <c r="E149" s="245">
        <v>44901</v>
      </c>
      <c r="F149" s="96" t="s">
        <v>27</v>
      </c>
      <c r="G149" s="250" t="s">
        <v>734</v>
      </c>
      <c r="H149" s="248">
        <v>197853</v>
      </c>
      <c r="I149" s="248">
        <v>0</v>
      </c>
      <c r="J149" s="230">
        <f>H149-I149</f>
        <v>197853</v>
      </c>
      <c r="K149" s="250" t="s">
        <v>196</v>
      </c>
      <c r="L149" s="231"/>
      <c r="M149" s="344">
        <f>IF(AND(J149=0,K149=Nguyen_nhan!$B$3),"Đúng",IF(AND(J149&lt;&gt;0,K149=Nguyen_nhan!$B$3),"Sai",""))</f>
      </c>
    </row>
    <row r="150" spans="1:13" s="127" customFormat="1" ht="34.5" customHeight="1">
      <c r="A150" s="181" t="s">
        <v>326</v>
      </c>
      <c r="B150" s="356" t="s">
        <v>327</v>
      </c>
      <c r="C150" s="357"/>
      <c r="D150" s="191"/>
      <c r="E150" s="192"/>
      <c r="F150" s="193"/>
      <c r="G150" s="194"/>
      <c r="H150" s="187"/>
      <c r="I150" s="187"/>
      <c r="J150" s="187"/>
      <c r="K150" s="195"/>
      <c r="L150" s="196"/>
      <c r="M150" s="344">
        <f>IF(AND(J150=0,K150=Nguyen_nhan!$B$3),"Đúng",IF(AND(J150&lt;&gt;0,K150=Nguyen_nhan!$B$3),"Sai",""))</f>
      </c>
    </row>
    <row r="151" spans="1:13" s="80" customFormat="1" ht="34.5" customHeight="1">
      <c r="A151" s="228">
        <v>1</v>
      </c>
      <c r="B151" s="108" t="s">
        <v>651</v>
      </c>
      <c r="C151" s="269">
        <v>44306</v>
      </c>
      <c r="D151" s="270">
        <v>33</v>
      </c>
      <c r="E151" s="271">
        <v>44477</v>
      </c>
      <c r="F151" s="96" t="s">
        <v>209</v>
      </c>
      <c r="G151" s="163" t="s">
        <v>652</v>
      </c>
      <c r="H151" s="278">
        <v>604512</v>
      </c>
      <c r="I151" s="279">
        <v>0</v>
      </c>
      <c r="J151" s="101">
        <f aca="true" t="shared" si="5" ref="J151:J167">H151-I151</f>
        <v>604512</v>
      </c>
      <c r="K151" s="285" t="s">
        <v>196</v>
      </c>
      <c r="L151" s="98"/>
      <c r="M151" s="344">
        <f>IF(AND(J151=0,K151=Nguyen_nhan!$B$3),"Đúng",IF(AND(J151&lt;&gt;0,K151=Nguyen_nhan!$B$3),"Sai",""))</f>
      </c>
    </row>
    <row r="152" spans="1:13" s="80" customFormat="1" ht="34.5" customHeight="1">
      <c r="A152" s="228">
        <v>2</v>
      </c>
      <c r="B152" s="108" t="s">
        <v>653</v>
      </c>
      <c r="C152" s="272">
        <v>43791</v>
      </c>
      <c r="D152" s="273">
        <v>74</v>
      </c>
      <c r="E152" s="271">
        <v>44512</v>
      </c>
      <c r="F152" s="96" t="s">
        <v>209</v>
      </c>
      <c r="G152" s="251" t="s">
        <v>654</v>
      </c>
      <c r="H152" s="280">
        <v>504239</v>
      </c>
      <c r="I152" s="279">
        <v>8113</v>
      </c>
      <c r="J152" s="101">
        <f t="shared" si="5"/>
        <v>496126</v>
      </c>
      <c r="K152" s="285" t="s">
        <v>316</v>
      </c>
      <c r="L152" s="98"/>
      <c r="M152" s="344">
        <f>IF(AND(J152=0,K152=Nguyen_nhan!$B$3),"Đúng",IF(AND(J152&lt;&gt;0,K152=Nguyen_nhan!$B$3),"Sai",""))</f>
      </c>
    </row>
    <row r="153" spans="1:13" s="80" customFormat="1" ht="34.5" customHeight="1">
      <c r="A153" s="228">
        <v>3</v>
      </c>
      <c r="B153" s="108" t="s">
        <v>655</v>
      </c>
      <c r="C153" s="274">
        <v>44469</v>
      </c>
      <c r="D153" s="232">
        <v>77</v>
      </c>
      <c r="E153" s="275">
        <v>44516</v>
      </c>
      <c r="F153" s="232" t="s">
        <v>43</v>
      </c>
      <c r="G153" s="232" t="s">
        <v>656</v>
      </c>
      <c r="H153" s="281">
        <v>15832</v>
      </c>
      <c r="I153" s="282">
        <f>2941+184+183</f>
        <v>3308</v>
      </c>
      <c r="J153" s="101">
        <f t="shared" si="5"/>
        <v>12524</v>
      </c>
      <c r="K153" s="285" t="s">
        <v>196</v>
      </c>
      <c r="L153" s="98"/>
      <c r="M153" s="344">
        <f>IF(AND(J153=0,K153=Nguyen_nhan!$B$3),"Đúng",IF(AND(J153&lt;&gt;0,K153=Nguyen_nhan!$B$3),"Sai",""))</f>
      </c>
    </row>
    <row r="154" spans="1:13" s="80" customFormat="1" ht="34.5" customHeight="1">
      <c r="A154" s="228">
        <v>4</v>
      </c>
      <c r="B154" s="108" t="s">
        <v>735</v>
      </c>
      <c r="C154" s="272">
        <v>44525</v>
      </c>
      <c r="D154" s="273">
        <v>16</v>
      </c>
      <c r="E154" s="271">
        <v>44848</v>
      </c>
      <c r="F154" s="96" t="s">
        <v>209</v>
      </c>
      <c r="G154" s="251" t="s">
        <v>736</v>
      </c>
      <c r="H154" s="280">
        <v>131940</v>
      </c>
      <c r="I154" s="279">
        <v>6528</v>
      </c>
      <c r="J154" s="101">
        <f t="shared" si="5"/>
        <v>125412</v>
      </c>
      <c r="K154" s="285" t="s">
        <v>316</v>
      </c>
      <c r="L154" s="98"/>
      <c r="M154" s="344">
        <f>IF(AND(J154=0,K154=Nguyen_nhan!$B$3),"Đúng",IF(AND(J154&lt;&gt;0,K154=Nguyen_nhan!$B$3),"Sai",""))</f>
      </c>
    </row>
    <row r="155" spans="1:13" s="80" customFormat="1" ht="34.5" customHeight="1">
      <c r="A155" s="228">
        <v>5</v>
      </c>
      <c r="B155" s="108" t="s">
        <v>737</v>
      </c>
      <c r="C155" s="269">
        <v>44469</v>
      </c>
      <c r="D155" s="270">
        <v>49</v>
      </c>
      <c r="E155" s="271">
        <v>44855</v>
      </c>
      <c r="F155" s="96" t="s">
        <v>209</v>
      </c>
      <c r="G155" s="251" t="s">
        <v>736</v>
      </c>
      <c r="H155" s="278">
        <v>439664</v>
      </c>
      <c r="I155" s="279">
        <v>174513</v>
      </c>
      <c r="J155" s="101">
        <f t="shared" si="5"/>
        <v>265151</v>
      </c>
      <c r="K155" s="285" t="s">
        <v>316</v>
      </c>
      <c r="L155" s="98"/>
      <c r="M155" s="344">
        <f>IF(AND(J155=0,K155=Nguyen_nhan!$B$3),"Đúng",IF(AND(J155&lt;&gt;0,K155=Nguyen_nhan!$B$3),"Sai",""))</f>
      </c>
    </row>
    <row r="156" spans="1:13" s="80" customFormat="1" ht="34.5" customHeight="1">
      <c r="A156" s="232">
        <v>6</v>
      </c>
      <c r="B156" s="108" t="s">
        <v>740</v>
      </c>
      <c r="C156" s="269">
        <v>44820</v>
      </c>
      <c r="D156" s="270">
        <v>64</v>
      </c>
      <c r="E156" s="276">
        <v>44873</v>
      </c>
      <c r="F156" s="96" t="s">
        <v>55</v>
      </c>
      <c r="G156" s="251" t="s">
        <v>741</v>
      </c>
      <c r="H156" s="278">
        <v>12618</v>
      </c>
      <c r="I156" s="279">
        <v>0</v>
      </c>
      <c r="J156" s="101">
        <f t="shared" si="5"/>
        <v>12618</v>
      </c>
      <c r="K156" s="285" t="s">
        <v>316</v>
      </c>
      <c r="L156" s="98"/>
      <c r="M156" s="344">
        <f>IF(AND(J156=0,K156=Nguyen_nhan!$B$3),"Đúng",IF(AND(J156&lt;&gt;0,K156=Nguyen_nhan!$B$3),"Sai",""))</f>
      </c>
    </row>
    <row r="157" spans="1:13" s="80" customFormat="1" ht="34.5" customHeight="1">
      <c r="A157" s="232">
        <v>7</v>
      </c>
      <c r="B157" s="108" t="s">
        <v>742</v>
      </c>
      <c r="C157" s="269">
        <v>44792</v>
      </c>
      <c r="D157" s="270">
        <v>65</v>
      </c>
      <c r="E157" s="276">
        <v>44873</v>
      </c>
      <c r="F157" s="96" t="s">
        <v>55</v>
      </c>
      <c r="G157" s="251" t="s">
        <v>743</v>
      </c>
      <c r="H157" s="278">
        <v>62573</v>
      </c>
      <c r="I157" s="279">
        <v>0</v>
      </c>
      <c r="J157" s="101">
        <f t="shared" si="5"/>
        <v>62573</v>
      </c>
      <c r="K157" s="285" t="s">
        <v>316</v>
      </c>
      <c r="L157" s="98"/>
      <c r="M157" s="344">
        <f>IF(AND(J157=0,K157=Nguyen_nhan!$B$3),"Đúng",IF(AND(J157&lt;&gt;0,K157=Nguyen_nhan!$B$3),"Sai",""))</f>
      </c>
    </row>
    <row r="158" spans="1:13" s="80" customFormat="1" ht="34.5" customHeight="1">
      <c r="A158" s="232">
        <v>8</v>
      </c>
      <c r="B158" s="108" t="s">
        <v>744</v>
      </c>
      <c r="C158" s="269">
        <v>44820</v>
      </c>
      <c r="D158" s="270">
        <v>66</v>
      </c>
      <c r="E158" s="271">
        <v>44873</v>
      </c>
      <c r="F158" s="96" t="s">
        <v>55</v>
      </c>
      <c r="G158" s="251" t="s">
        <v>745</v>
      </c>
      <c r="H158" s="283">
        <v>60536</v>
      </c>
      <c r="I158" s="279">
        <v>0</v>
      </c>
      <c r="J158" s="101">
        <f t="shared" si="5"/>
        <v>60536</v>
      </c>
      <c r="K158" s="285" t="s">
        <v>316</v>
      </c>
      <c r="L158" s="98"/>
      <c r="M158" s="344">
        <f>IF(AND(J158=0,K158=Nguyen_nhan!$B$3),"Đúng",IF(AND(J158&lt;&gt;0,K158=Nguyen_nhan!$B$3),"Sai",""))</f>
      </c>
    </row>
    <row r="159" spans="1:13" s="80" customFormat="1" ht="34.5" customHeight="1">
      <c r="A159" s="232">
        <v>9</v>
      </c>
      <c r="B159" s="108" t="s">
        <v>746</v>
      </c>
      <c r="C159" s="277">
        <v>44792</v>
      </c>
      <c r="D159" s="270">
        <v>67</v>
      </c>
      <c r="E159" s="271">
        <v>44873</v>
      </c>
      <c r="F159" s="96" t="s">
        <v>55</v>
      </c>
      <c r="G159" s="251" t="s">
        <v>747</v>
      </c>
      <c r="H159" s="283">
        <v>68497</v>
      </c>
      <c r="I159" s="279">
        <v>0</v>
      </c>
      <c r="J159" s="101">
        <f t="shared" si="5"/>
        <v>68497</v>
      </c>
      <c r="K159" s="285" t="s">
        <v>316</v>
      </c>
      <c r="L159" s="98"/>
      <c r="M159" s="344">
        <f>IF(AND(J159=0,K159=Nguyen_nhan!$B$3),"Đúng",IF(AND(J159&lt;&gt;0,K159=Nguyen_nhan!$B$3),"Sai",""))</f>
      </c>
    </row>
    <row r="160" spans="1:13" s="80" customFormat="1" ht="34.5" customHeight="1">
      <c r="A160" s="232">
        <v>10</v>
      </c>
      <c r="B160" s="108" t="s">
        <v>748</v>
      </c>
      <c r="C160" s="277">
        <v>44790</v>
      </c>
      <c r="D160" s="270">
        <v>68</v>
      </c>
      <c r="E160" s="271">
        <v>44873</v>
      </c>
      <c r="F160" s="96" t="s">
        <v>55</v>
      </c>
      <c r="G160" s="251" t="s">
        <v>749</v>
      </c>
      <c r="H160" s="283">
        <v>15399</v>
      </c>
      <c r="I160" s="279">
        <v>0</v>
      </c>
      <c r="J160" s="101">
        <f t="shared" si="5"/>
        <v>15399</v>
      </c>
      <c r="K160" s="285" t="s">
        <v>316</v>
      </c>
      <c r="L160" s="98"/>
      <c r="M160" s="344">
        <f>IF(AND(J160=0,K160=Nguyen_nhan!$B$3),"Đúng",IF(AND(J160&lt;&gt;0,K160=Nguyen_nhan!$B$3),"Sai",""))</f>
      </c>
    </row>
    <row r="161" spans="1:13" s="80" customFormat="1" ht="34.5" customHeight="1">
      <c r="A161" s="232">
        <v>11</v>
      </c>
      <c r="B161" s="108" t="s">
        <v>750</v>
      </c>
      <c r="C161" s="277">
        <v>44790</v>
      </c>
      <c r="D161" s="270">
        <v>69</v>
      </c>
      <c r="E161" s="271">
        <v>44873</v>
      </c>
      <c r="F161" s="96" t="s">
        <v>55</v>
      </c>
      <c r="G161" s="251" t="s">
        <v>751</v>
      </c>
      <c r="H161" s="283">
        <v>12422</v>
      </c>
      <c r="I161" s="279">
        <v>0</v>
      </c>
      <c r="J161" s="101">
        <f t="shared" si="5"/>
        <v>12422</v>
      </c>
      <c r="K161" s="285" t="s">
        <v>196</v>
      </c>
      <c r="L161" s="98"/>
      <c r="M161" s="344">
        <f>IF(AND(J161=0,K161=Nguyen_nhan!$B$3),"Đúng",IF(AND(J161&lt;&gt;0,K161=Nguyen_nhan!$B$3),"Sai",""))</f>
      </c>
    </row>
    <row r="162" spans="1:13" s="80" customFormat="1" ht="34.5" customHeight="1">
      <c r="A162" s="232">
        <v>12</v>
      </c>
      <c r="B162" s="108" t="s">
        <v>752</v>
      </c>
      <c r="C162" s="269">
        <v>44833</v>
      </c>
      <c r="D162" s="270">
        <v>104</v>
      </c>
      <c r="E162" s="271">
        <v>44917</v>
      </c>
      <c r="F162" s="284" t="s">
        <v>50</v>
      </c>
      <c r="G162" s="251" t="s">
        <v>753</v>
      </c>
      <c r="H162" s="283">
        <v>133958</v>
      </c>
      <c r="I162" s="279">
        <v>99165</v>
      </c>
      <c r="J162" s="101">
        <f t="shared" si="5"/>
        <v>34793</v>
      </c>
      <c r="K162" s="285" t="s">
        <v>196</v>
      </c>
      <c r="L162" s="98"/>
      <c r="M162" s="344">
        <f>IF(AND(J162=0,K162=Nguyen_nhan!$B$3),"Đúng",IF(AND(J162&lt;&gt;0,K162=Nguyen_nhan!$B$3),"Sai",""))</f>
      </c>
    </row>
    <row r="163" spans="1:13" s="80" customFormat="1" ht="34.5" customHeight="1">
      <c r="A163" s="232">
        <v>13</v>
      </c>
      <c r="B163" s="243" t="s">
        <v>805</v>
      </c>
      <c r="C163" s="269">
        <v>44825</v>
      </c>
      <c r="D163" s="270">
        <v>223</v>
      </c>
      <c r="E163" s="271">
        <v>45036</v>
      </c>
      <c r="F163" s="284" t="s">
        <v>209</v>
      </c>
      <c r="G163" s="251" t="s">
        <v>804</v>
      </c>
      <c r="H163" s="283">
        <v>2390894</v>
      </c>
      <c r="I163" s="279">
        <v>0</v>
      </c>
      <c r="J163" s="101">
        <f t="shared" si="5"/>
        <v>2390894</v>
      </c>
      <c r="K163" s="285" t="s">
        <v>196</v>
      </c>
      <c r="L163" s="98"/>
      <c r="M163" s="344">
        <f>IF(AND(J163=0,K163=Nguyen_nhan!$B$3),"Đúng",IF(AND(J163&lt;&gt;0,K163=Nguyen_nhan!$B$3),"Sai",""))</f>
      </c>
    </row>
    <row r="164" spans="1:13" s="80" customFormat="1" ht="34.5" customHeight="1">
      <c r="A164" s="232">
        <v>14</v>
      </c>
      <c r="B164" s="108" t="s">
        <v>806</v>
      </c>
      <c r="C164" s="269">
        <v>44813</v>
      </c>
      <c r="D164" s="270">
        <v>226</v>
      </c>
      <c r="E164" s="271">
        <v>45036</v>
      </c>
      <c r="F164" s="284" t="s">
        <v>209</v>
      </c>
      <c r="G164" s="251" t="s">
        <v>397</v>
      </c>
      <c r="H164" s="283">
        <v>237194</v>
      </c>
      <c r="I164" s="279">
        <v>0</v>
      </c>
      <c r="J164" s="101">
        <f t="shared" si="5"/>
        <v>237194</v>
      </c>
      <c r="K164" s="285" t="s">
        <v>316</v>
      </c>
      <c r="L164" s="98"/>
      <c r="M164" s="344">
        <f>IF(AND(J164=0,K164=Nguyen_nhan!$B$3),"Đúng",IF(AND(J164&lt;&gt;0,K164=Nguyen_nhan!$B$3),"Sai",""))</f>
      </c>
    </row>
    <row r="165" spans="1:13" s="80" customFormat="1" ht="34.5" customHeight="1">
      <c r="A165" s="232">
        <v>15</v>
      </c>
      <c r="B165" s="108" t="s">
        <v>739</v>
      </c>
      <c r="C165" s="269">
        <v>44820</v>
      </c>
      <c r="D165" s="270">
        <v>63</v>
      </c>
      <c r="E165" s="271">
        <v>44873</v>
      </c>
      <c r="F165" s="96" t="s">
        <v>55</v>
      </c>
      <c r="G165" s="251" t="s">
        <v>807</v>
      </c>
      <c r="H165" s="283">
        <v>40940</v>
      </c>
      <c r="I165" s="279">
        <v>40940</v>
      </c>
      <c r="J165" s="101">
        <f t="shared" si="5"/>
        <v>0</v>
      </c>
      <c r="K165" s="285" t="s">
        <v>204</v>
      </c>
      <c r="L165" s="98"/>
      <c r="M165" s="344">
        <f>IF(AND(J165=0,K165=Nguyen_nhan!$B$3),"Đúng",IF(AND(J165&lt;&gt;0,K165=Nguyen_nhan!$B$3),"Sai",""))</f>
      </c>
    </row>
    <row r="166" spans="1:13" s="80" customFormat="1" ht="34.5" customHeight="1">
      <c r="A166" s="232">
        <v>16</v>
      </c>
      <c r="B166" s="108" t="s">
        <v>738</v>
      </c>
      <c r="C166" s="269">
        <v>44826</v>
      </c>
      <c r="D166" s="270">
        <v>62</v>
      </c>
      <c r="E166" s="271">
        <v>44873</v>
      </c>
      <c r="F166" s="96" t="s">
        <v>55</v>
      </c>
      <c r="G166" s="251" t="s">
        <v>808</v>
      </c>
      <c r="H166" s="283">
        <v>14849</v>
      </c>
      <c r="I166" s="279">
        <v>14849</v>
      </c>
      <c r="J166" s="101">
        <f t="shared" si="5"/>
        <v>0</v>
      </c>
      <c r="K166" s="285" t="s">
        <v>204</v>
      </c>
      <c r="L166" s="98"/>
      <c r="M166" s="344">
        <f>IF(AND(J166=0,K166=Nguyen_nhan!$B$3),"Đúng",IF(AND(J166&lt;&gt;0,K166=Nguyen_nhan!$B$3),"Sai",""))</f>
      </c>
    </row>
    <row r="167" spans="1:13" s="80" customFormat="1" ht="34.5" customHeight="1">
      <c r="A167" s="232">
        <v>17</v>
      </c>
      <c r="B167" s="108" t="s">
        <v>650</v>
      </c>
      <c r="C167" s="272">
        <v>44320</v>
      </c>
      <c r="D167" s="273">
        <v>262</v>
      </c>
      <c r="E167" s="271">
        <v>44382</v>
      </c>
      <c r="F167" s="96" t="s">
        <v>52</v>
      </c>
      <c r="G167" s="251" t="s">
        <v>570</v>
      </c>
      <c r="H167" s="280">
        <v>164999</v>
      </c>
      <c r="I167" s="279">
        <f>H167</f>
        <v>164999</v>
      </c>
      <c r="J167" s="101">
        <f t="shared" si="5"/>
        <v>0</v>
      </c>
      <c r="K167" s="285" t="s">
        <v>204</v>
      </c>
      <c r="L167" s="98"/>
      <c r="M167" s="344">
        <f>IF(AND(J167=0,K167=Nguyen_nhan!$B$3),"Đúng",IF(AND(J167&lt;&gt;0,K167=Nguyen_nhan!$B$3),"Sai",""))</f>
      </c>
    </row>
    <row r="168" spans="1:13" s="127" customFormat="1" ht="34.5" customHeight="1">
      <c r="A168" s="181" t="s">
        <v>329</v>
      </c>
      <c r="B168" s="356" t="s">
        <v>328</v>
      </c>
      <c r="C168" s="357"/>
      <c r="D168" s="191"/>
      <c r="E168" s="192"/>
      <c r="F168" s="193"/>
      <c r="G168" s="194"/>
      <c r="H168" s="187"/>
      <c r="I168" s="187"/>
      <c r="J168" s="187"/>
      <c r="K168" s="195"/>
      <c r="L168" s="196"/>
      <c r="M168" s="344">
        <f>IF(AND(J168=0,K168=Nguyen_nhan!$B$3),"Đúng",IF(AND(J168&lt;&gt;0,K168=Nguyen_nhan!$B$3),"Sai",""))</f>
      </c>
    </row>
    <row r="169" spans="1:13" s="160" customFormat="1" ht="34.5" customHeight="1">
      <c r="A169" s="99">
        <v>1</v>
      </c>
      <c r="B169" s="253" t="s">
        <v>370</v>
      </c>
      <c r="C169" s="113">
        <v>41336</v>
      </c>
      <c r="D169" s="241" t="s">
        <v>468</v>
      </c>
      <c r="E169" s="113">
        <v>42802</v>
      </c>
      <c r="F169" s="96" t="s">
        <v>55</v>
      </c>
      <c r="G169" s="103" t="s">
        <v>469</v>
      </c>
      <c r="H169" s="104">
        <v>33121</v>
      </c>
      <c r="I169" s="104">
        <v>0</v>
      </c>
      <c r="J169" s="104">
        <f aca="true" t="shared" si="6" ref="J169:J248">H169-I169</f>
        <v>33121</v>
      </c>
      <c r="K169" s="158" t="s">
        <v>196</v>
      </c>
      <c r="L169" s="94"/>
      <c r="M169" s="344">
        <f>IF(AND(J169=0,K169=Nguyen_nhan!$B$3),"Đúng",IF(AND(J169&lt;&gt;0,K169=Nguyen_nhan!$B$3),"Sai",""))</f>
      </c>
    </row>
    <row r="170" spans="1:13" s="160" customFormat="1" ht="34.5" customHeight="1">
      <c r="A170" s="99">
        <v>2</v>
      </c>
      <c r="B170" s="253" t="s">
        <v>370</v>
      </c>
      <c r="C170" s="113">
        <v>43056</v>
      </c>
      <c r="D170" s="241" t="s">
        <v>470</v>
      </c>
      <c r="E170" s="113">
        <v>43237</v>
      </c>
      <c r="F170" s="96" t="s">
        <v>52</v>
      </c>
      <c r="G170" s="103" t="s">
        <v>471</v>
      </c>
      <c r="H170" s="104">
        <v>920848</v>
      </c>
      <c r="I170" s="104">
        <v>920848</v>
      </c>
      <c r="J170" s="104">
        <f t="shared" si="6"/>
        <v>0</v>
      </c>
      <c r="K170" s="158" t="s">
        <v>203</v>
      </c>
      <c r="L170" s="94"/>
      <c r="M170" s="344" t="str">
        <f>IF(AND(J170=0,K170=Nguyen_nhan!$B$3),"Đúng",IF(AND(J170&lt;&gt;0,K170=Nguyen_nhan!$B$3),"Sai",""))</f>
        <v>Đúng</v>
      </c>
    </row>
    <row r="171" spans="1:13" s="160" customFormat="1" ht="34.5" customHeight="1">
      <c r="A171" s="99">
        <v>3</v>
      </c>
      <c r="B171" s="253" t="s">
        <v>351</v>
      </c>
      <c r="C171" s="113">
        <v>43335</v>
      </c>
      <c r="D171" s="241" t="s">
        <v>472</v>
      </c>
      <c r="E171" s="113">
        <v>43546</v>
      </c>
      <c r="F171" s="96" t="s">
        <v>52</v>
      </c>
      <c r="G171" s="103" t="s">
        <v>473</v>
      </c>
      <c r="H171" s="104">
        <v>23240</v>
      </c>
      <c r="I171" s="104">
        <v>0</v>
      </c>
      <c r="J171" s="104">
        <f t="shared" si="6"/>
        <v>23240</v>
      </c>
      <c r="K171" s="158" t="s">
        <v>196</v>
      </c>
      <c r="L171" s="94"/>
      <c r="M171" s="344">
        <f>IF(AND(J171=0,K171=Nguyen_nhan!$B$3),"Đúng",IF(AND(J171&lt;&gt;0,K171=Nguyen_nhan!$B$3),"Sai",""))</f>
      </c>
    </row>
    <row r="172" spans="1:13" s="160" customFormat="1" ht="34.5" customHeight="1">
      <c r="A172" s="99">
        <v>4</v>
      </c>
      <c r="B172" s="253" t="s">
        <v>348</v>
      </c>
      <c r="C172" s="95">
        <v>43559</v>
      </c>
      <c r="D172" s="94" t="s">
        <v>474</v>
      </c>
      <c r="E172" s="95">
        <v>43649</v>
      </c>
      <c r="F172" s="96" t="s">
        <v>52</v>
      </c>
      <c r="G172" s="97" t="s">
        <v>475</v>
      </c>
      <c r="H172" s="101">
        <v>805859</v>
      </c>
      <c r="I172" s="101">
        <v>0</v>
      </c>
      <c r="J172" s="104">
        <f t="shared" si="6"/>
        <v>805859</v>
      </c>
      <c r="K172" s="100" t="s">
        <v>316</v>
      </c>
      <c r="L172" s="94"/>
      <c r="M172" s="344">
        <f>IF(AND(J172=0,K172=Nguyen_nhan!$B$3),"Đúng",IF(AND(J172&lt;&gt;0,K172=Nguyen_nhan!$B$3),"Sai",""))</f>
      </c>
    </row>
    <row r="173" spans="1:13" s="160" customFormat="1" ht="34.5" customHeight="1">
      <c r="A173" s="99">
        <v>5</v>
      </c>
      <c r="B173" s="253" t="s">
        <v>405</v>
      </c>
      <c r="C173" s="95">
        <v>43558</v>
      </c>
      <c r="D173" s="94" t="s">
        <v>476</v>
      </c>
      <c r="E173" s="95">
        <v>43756</v>
      </c>
      <c r="F173" s="96" t="s">
        <v>27</v>
      </c>
      <c r="G173" s="97" t="s">
        <v>477</v>
      </c>
      <c r="H173" s="101">
        <v>27870</v>
      </c>
      <c r="I173" s="101">
        <v>0</v>
      </c>
      <c r="J173" s="104">
        <f t="shared" si="6"/>
        <v>27870</v>
      </c>
      <c r="K173" s="100" t="s">
        <v>316</v>
      </c>
      <c r="L173" s="94"/>
      <c r="M173" s="344">
        <f>IF(AND(J173=0,K173=Nguyen_nhan!$B$3),"Đúng",IF(AND(J173&lt;&gt;0,K173=Nguyen_nhan!$B$3),"Sai",""))</f>
      </c>
    </row>
    <row r="174" spans="1:13" s="160" customFormat="1" ht="34.5" customHeight="1">
      <c r="A174" s="99">
        <v>6</v>
      </c>
      <c r="B174" s="253" t="s">
        <v>478</v>
      </c>
      <c r="C174" s="95">
        <v>43784</v>
      </c>
      <c r="D174" s="94" t="s">
        <v>479</v>
      </c>
      <c r="E174" s="95">
        <v>43832</v>
      </c>
      <c r="F174" s="96" t="s">
        <v>43</v>
      </c>
      <c r="G174" s="97" t="s">
        <v>480</v>
      </c>
      <c r="H174" s="101">
        <v>9363</v>
      </c>
      <c r="I174" s="101">
        <v>0</v>
      </c>
      <c r="J174" s="104">
        <f t="shared" si="6"/>
        <v>9363</v>
      </c>
      <c r="K174" s="100" t="s">
        <v>316</v>
      </c>
      <c r="L174" s="94"/>
      <c r="M174" s="344">
        <f>IF(AND(J174=0,K174=Nguyen_nhan!$B$3),"Đúng",IF(AND(J174&lt;&gt;0,K174=Nguyen_nhan!$B$3),"Sai",""))</f>
      </c>
    </row>
    <row r="175" spans="1:13" s="160" customFormat="1" ht="34.5" customHeight="1">
      <c r="A175" s="99">
        <v>7</v>
      </c>
      <c r="B175" s="254" t="s">
        <v>481</v>
      </c>
      <c r="C175" s="268">
        <v>43360</v>
      </c>
      <c r="D175" s="241" t="s">
        <v>482</v>
      </c>
      <c r="E175" s="113">
        <v>43444</v>
      </c>
      <c r="F175" s="96" t="s">
        <v>52</v>
      </c>
      <c r="G175" s="97" t="s">
        <v>483</v>
      </c>
      <c r="H175" s="101">
        <v>1182507</v>
      </c>
      <c r="I175" s="101">
        <v>0</v>
      </c>
      <c r="J175" s="104">
        <f t="shared" si="6"/>
        <v>1182507</v>
      </c>
      <c r="K175" s="100" t="s">
        <v>316</v>
      </c>
      <c r="L175" s="94"/>
      <c r="M175" s="344">
        <f>IF(AND(J175=0,K175=Nguyen_nhan!$B$3),"Đúng",IF(AND(J175&lt;&gt;0,K175=Nguyen_nhan!$B$3),"Sai",""))</f>
      </c>
    </row>
    <row r="176" spans="1:13" s="160" customFormat="1" ht="34.5" customHeight="1">
      <c r="A176" s="99">
        <v>8</v>
      </c>
      <c r="B176" s="335">
        <v>12</v>
      </c>
      <c r="C176" s="334">
        <v>43795</v>
      </c>
      <c r="D176" s="335">
        <v>324</v>
      </c>
      <c r="E176" s="334">
        <v>43941</v>
      </c>
      <c r="F176" s="96" t="s">
        <v>35</v>
      </c>
      <c r="G176" s="335" t="s">
        <v>484</v>
      </c>
      <c r="H176" s="336">
        <v>581065</v>
      </c>
      <c r="I176" s="101">
        <v>0</v>
      </c>
      <c r="J176" s="104">
        <f t="shared" si="6"/>
        <v>581065</v>
      </c>
      <c r="K176" s="100" t="s">
        <v>316</v>
      </c>
      <c r="L176" s="94"/>
      <c r="M176" s="344">
        <f>IF(AND(J176=0,K176=Nguyen_nhan!$B$3),"Đúng",IF(AND(J176&lt;&gt;0,K176=Nguyen_nhan!$B$3),"Sai",""))</f>
      </c>
    </row>
    <row r="177" spans="1:13" s="160" customFormat="1" ht="34.5" customHeight="1">
      <c r="A177" s="99">
        <v>9</v>
      </c>
      <c r="B177" s="337" t="s">
        <v>349</v>
      </c>
      <c r="C177" s="334">
        <v>43567</v>
      </c>
      <c r="D177" s="335">
        <v>378</v>
      </c>
      <c r="E177" s="334">
        <v>43619</v>
      </c>
      <c r="F177" s="96" t="s">
        <v>50</v>
      </c>
      <c r="G177" s="335" t="s">
        <v>485</v>
      </c>
      <c r="H177" s="336">
        <v>47424</v>
      </c>
      <c r="I177" s="101">
        <v>0</v>
      </c>
      <c r="J177" s="104">
        <f t="shared" si="6"/>
        <v>47424</v>
      </c>
      <c r="K177" s="100" t="s">
        <v>316</v>
      </c>
      <c r="L177" s="94"/>
      <c r="M177" s="344">
        <f>IF(AND(J177=0,K177=Nguyen_nhan!$B$3),"Đúng",IF(AND(J177&lt;&gt;0,K177=Nguyen_nhan!$B$3),"Sai",""))</f>
      </c>
    </row>
    <row r="178" spans="1:13" s="160" customFormat="1" ht="34.5" customHeight="1">
      <c r="A178" s="99">
        <v>10</v>
      </c>
      <c r="B178" s="335">
        <v>28</v>
      </c>
      <c r="C178" s="334">
        <v>43620</v>
      </c>
      <c r="D178" s="335">
        <v>437</v>
      </c>
      <c r="E178" s="334">
        <v>43649</v>
      </c>
      <c r="F178" s="96" t="s">
        <v>27</v>
      </c>
      <c r="G178" s="338" t="s">
        <v>486</v>
      </c>
      <c r="H178" s="336">
        <v>476864</v>
      </c>
      <c r="I178" s="101">
        <v>0</v>
      </c>
      <c r="J178" s="104">
        <f t="shared" si="6"/>
        <v>476864</v>
      </c>
      <c r="K178" s="100" t="s">
        <v>316</v>
      </c>
      <c r="L178" s="94"/>
      <c r="M178" s="344">
        <f>IF(AND(J178=0,K178=Nguyen_nhan!$B$3),"Đúng",IF(AND(J178&lt;&gt;0,K178=Nguyen_nhan!$B$3),"Sai",""))</f>
      </c>
    </row>
    <row r="179" spans="1:13" s="160" customFormat="1" ht="34.5" customHeight="1">
      <c r="A179" s="99">
        <v>11</v>
      </c>
      <c r="B179" s="337" t="s">
        <v>433</v>
      </c>
      <c r="C179" s="334">
        <v>43588</v>
      </c>
      <c r="D179" s="335">
        <v>35</v>
      </c>
      <c r="E179" s="334">
        <v>43754</v>
      </c>
      <c r="F179" s="96" t="s">
        <v>209</v>
      </c>
      <c r="G179" s="338" t="s">
        <v>487</v>
      </c>
      <c r="H179" s="336">
        <v>212238</v>
      </c>
      <c r="I179" s="101">
        <v>0</v>
      </c>
      <c r="J179" s="104">
        <f t="shared" si="6"/>
        <v>212238</v>
      </c>
      <c r="K179" s="100" t="s">
        <v>316</v>
      </c>
      <c r="L179" s="94"/>
      <c r="M179" s="344">
        <f>IF(AND(J179=0,K179=Nguyen_nhan!$B$3),"Đúng",IF(AND(J179&lt;&gt;0,K179=Nguyen_nhan!$B$3),"Sai",""))</f>
      </c>
    </row>
    <row r="180" spans="1:13" s="160" customFormat="1" ht="34.5" customHeight="1">
      <c r="A180" s="99">
        <v>12</v>
      </c>
      <c r="B180" s="337" t="s">
        <v>351</v>
      </c>
      <c r="C180" s="334">
        <v>43794</v>
      </c>
      <c r="D180" s="335">
        <v>287</v>
      </c>
      <c r="E180" s="334">
        <v>43913</v>
      </c>
      <c r="F180" s="96" t="s">
        <v>52</v>
      </c>
      <c r="G180" s="335" t="s">
        <v>488</v>
      </c>
      <c r="H180" s="336">
        <v>54684</v>
      </c>
      <c r="I180" s="101">
        <v>0</v>
      </c>
      <c r="J180" s="104">
        <f t="shared" si="6"/>
        <v>54684</v>
      </c>
      <c r="K180" s="100" t="s">
        <v>316</v>
      </c>
      <c r="L180" s="94"/>
      <c r="M180" s="344">
        <f>IF(AND(J180=0,K180=Nguyen_nhan!$B$3),"Đúng",IF(AND(J180&lt;&gt;0,K180=Nguyen_nhan!$B$3),"Sai",""))</f>
      </c>
    </row>
    <row r="181" spans="1:13" s="160" customFormat="1" ht="34.5" customHeight="1">
      <c r="A181" s="99">
        <v>13</v>
      </c>
      <c r="B181" s="94" t="s">
        <v>357</v>
      </c>
      <c r="C181" s="95">
        <v>43797</v>
      </c>
      <c r="D181" s="94" t="s">
        <v>489</v>
      </c>
      <c r="E181" s="95">
        <v>43913</v>
      </c>
      <c r="F181" s="96" t="s">
        <v>52</v>
      </c>
      <c r="G181" s="97" t="s">
        <v>490</v>
      </c>
      <c r="H181" s="101">
        <v>67557</v>
      </c>
      <c r="I181" s="101">
        <v>0</v>
      </c>
      <c r="J181" s="104">
        <f t="shared" si="6"/>
        <v>67557</v>
      </c>
      <c r="K181" s="100" t="s">
        <v>316</v>
      </c>
      <c r="L181" s="94"/>
      <c r="M181" s="344">
        <f>IF(AND(J181=0,K181=Nguyen_nhan!$B$3),"Đúng",IF(AND(J181&lt;&gt;0,K181=Nguyen_nhan!$B$3),"Sai",""))</f>
      </c>
    </row>
    <row r="182" spans="1:13" s="160" customFormat="1" ht="34.5" customHeight="1">
      <c r="A182" s="99">
        <v>14</v>
      </c>
      <c r="B182" s="241" t="s">
        <v>491</v>
      </c>
      <c r="C182" s="113">
        <v>44085</v>
      </c>
      <c r="D182" s="241" t="s">
        <v>492</v>
      </c>
      <c r="E182" s="113">
        <v>44166</v>
      </c>
      <c r="F182" s="96" t="s">
        <v>209</v>
      </c>
      <c r="G182" s="103" t="s">
        <v>493</v>
      </c>
      <c r="H182" s="104">
        <v>145767</v>
      </c>
      <c r="I182" s="101">
        <v>0</v>
      </c>
      <c r="J182" s="104">
        <f t="shared" si="6"/>
        <v>145767</v>
      </c>
      <c r="K182" s="158" t="s">
        <v>196</v>
      </c>
      <c r="L182" s="94"/>
      <c r="M182" s="344">
        <f>IF(AND(J182=0,K182=Nguyen_nhan!$B$3),"Đúng",IF(AND(J182&lt;&gt;0,K182=Nguyen_nhan!$B$3),"Sai",""))</f>
      </c>
    </row>
    <row r="183" spans="1:13" s="160" customFormat="1" ht="34.5" customHeight="1">
      <c r="A183" s="99">
        <v>15</v>
      </c>
      <c r="B183" s="116" t="s">
        <v>351</v>
      </c>
      <c r="C183" s="113">
        <v>44033</v>
      </c>
      <c r="D183" s="116" t="s">
        <v>363</v>
      </c>
      <c r="E183" s="113">
        <v>44106</v>
      </c>
      <c r="F183" s="96" t="s">
        <v>209</v>
      </c>
      <c r="G183" s="103" t="s">
        <v>494</v>
      </c>
      <c r="H183" s="104">
        <v>2119625</v>
      </c>
      <c r="I183" s="101">
        <v>0</v>
      </c>
      <c r="J183" s="104">
        <f t="shared" si="6"/>
        <v>2119625</v>
      </c>
      <c r="K183" s="158" t="s">
        <v>316</v>
      </c>
      <c r="L183" s="94"/>
      <c r="M183" s="344">
        <f>IF(AND(J183=0,K183=Nguyen_nhan!$B$3),"Đúng",IF(AND(J183&lt;&gt;0,K183=Nguyen_nhan!$B$3),"Sai",""))</f>
      </c>
    </row>
    <row r="184" spans="1:13" s="160" customFormat="1" ht="34.5" customHeight="1">
      <c r="A184" s="99">
        <v>16</v>
      </c>
      <c r="B184" s="116" t="s">
        <v>363</v>
      </c>
      <c r="C184" s="113">
        <v>44050</v>
      </c>
      <c r="D184" s="241" t="s">
        <v>436</v>
      </c>
      <c r="E184" s="113">
        <v>44106</v>
      </c>
      <c r="F184" s="96" t="s">
        <v>52</v>
      </c>
      <c r="G184" s="103" t="s">
        <v>495</v>
      </c>
      <c r="H184" s="104">
        <v>51929</v>
      </c>
      <c r="I184" s="101">
        <v>0</v>
      </c>
      <c r="J184" s="104">
        <f t="shared" si="6"/>
        <v>51929</v>
      </c>
      <c r="K184" s="158" t="s">
        <v>316</v>
      </c>
      <c r="L184" s="94"/>
      <c r="M184" s="344">
        <f>IF(AND(J184=0,K184=Nguyen_nhan!$B$3),"Đúng",IF(AND(J184&lt;&gt;0,K184=Nguyen_nhan!$B$3),"Sai",""))</f>
      </c>
    </row>
    <row r="185" spans="1:13" s="160" customFormat="1" ht="34.5" customHeight="1">
      <c r="A185" s="99">
        <v>17</v>
      </c>
      <c r="B185" s="241" t="s">
        <v>401</v>
      </c>
      <c r="C185" s="113">
        <v>44068</v>
      </c>
      <c r="D185" s="241" t="s">
        <v>353</v>
      </c>
      <c r="E185" s="113">
        <v>44106</v>
      </c>
      <c r="F185" s="96" t="s">
        <v>53</v>
      </c>
      <c r="G185" s="103" t="s">
        <v>496</v>
      </c>
      <c r="H185" s="104">
        <v>488267</v>
      </c>
      <c r="I185" s="104">
        <v>0</v>
      </c>
      <c r="J185" s="104">
        <f t="shared" si="6"/>
        <v>488267</v>
      </c>
      <c r="K185" s="158" t="s">
        <v>316</v>
      </c>
      <c r="L185" s="94"/>
      <c r="M185" s="344">
        <f>IF(AND(J185=0,K185=Nguyen_nhan!$B$3),"Đúng",IF(AND(J185&lt;&gt;0,K185=Nguyen_nhan!$B$3),"Sai",""))</f>
      </c>
    </row>
    <row r="186" spans="1:13" s="160" customFormat="1" ht="34.5" customHeight="1">
      <c r="A186" s="99">
        <v>18</v>
      </c>
      <c r="B186" s="116" t="s">
        <v>348</v>
      </c>
      <c r="C186" s="113">
        <v>43942</v>
      </c>
      <c r="D186" s="241" t="s">
        <v>359</v>
      </c>
      <c r="E186" s="113">
        <v>44106</v>
      </c>
      <c r="F186" s="96" t="s">
        <v>52</v>
      </c>
      <c r="G186" s="103" t="s">
        <v>497</v>
      </c>
      <c r="H186" s="104">
        <v>111900</v>
      </c>
      <c r="I186" s="104">
        <v>0</v>
      </c>
      <c r="J186" s="104">
        <f t="shared" si="6"/>
        <v>111900</v>
      </c>
      <c r="K186" s="158" t="s">
        <v>316</v>
      </c>
      <c r="L186" s="94"/>
      <c r="M186" s="344">
        <f>IF(AND(J186=0,K186=Nguyen_nhan!$B$3),"Đúng",IF(AND(J186&lt;&gt;0,K186=Nguyen_nhan!$B$3),"Sai",""))</f>
      </c>
    </row>
    <row r="187" spans="1:13" s="160" customFormat="1" ht="34.5" customHeight="1">
      <c r="A187" s="99">
        <v>19</v>
      </c>
      <c r="B187" s="241" t="s">
        <v>361</v>
      </c>
      <c r="C187" s="113">
        <v>43994</v>
      </c>
      <c r="D187" s="241" t="s">
        <v>405</v>
      </c>
      <c r="E187" s="113">
        <v>44106</v>
      </c>
      <c r="F187" s="96" t="s">
        <v>209</v>
      </c>
      <c r="G187" s="103" t="s">
        <v>498</v>
      </c>
      <c r="H187" s="104">
        <v>51821</v>
      </c>
      <c r="I187" s="104">
        <v>0</v>
      </c>
      <c r="J187" s="104">
        <f t="shared" si="6"/>
        <v>51821</v>
      </c>
      <c r="K187" s="158" t="s">
        <v>316</v>
      </c>
      <c r="L187" s="94"/>
      <c r="M187" s="344">
        <f>IF(AND(J187=0,K187=Nguyen_nhan!$B$3),"Đúng",IF(AND(J187&lt;&gt;0,K187=Nguyen_nhan!$B$3),"Sai",""))</f>
      </c>
    </row>
    <row r="188" spans="1:13" s="160" customFormat="1" ht="34.5" customHeight="1">
      <c r="A188" s="99">
        <v>20</v>
      </c>
      <c r="B188" s="241" t="s">
        <v>421</v>
      </c>
      <c r="C188" s="113">
        <v>44083</v>
      </c>
      <c r="D188" s="241" t="s">
        <v>499</v>
      </c>
      <c r="E188" s="113">
        <v>44137</v>
      </c>
      <c r="F188" s="96" t="s">
        <v>52</v>
      </c>
      <c r="G188" s="103" t="s">
        <v>500</v>
      </c>
      <c r="H188" s="104">
        <v>128424</v>
      </c>
      <c r="I188" s="104">
        <v>0</v>
      </c>
      <c r="J188" s="104">
        <f t="shared" si="6"/>
        <v>128424</v>
      </c>
      <c r="K188" s="158" t="s">
        <v>316</v>
      </c>
      <c r="L188" s="94"/>
      <c r="M188" s="344">
        <f>IF(AND(J188=0,K188=Nguyen_nhan!$B$3),"Đúng",IF(AND(J188&lt;&gt;0,K188=Nguyen_nhan!$B$3),"Sai",""))</f>
      </c>
    </row>
    <row r="189" spans="1:13" s="160" customFormat="1" ht="34.5" customHeight="1">
      <c r="A189" s="99">
        <v>21</v>
      </c>
      <c r="B189" s="241" t="s">
        <v>501</v>
      </c>
      <c r="C189" s="113">
        <v>44097</v>
      </c>
      <c r="D189" s="241" t="s">
        <v>502</v>
      </c>
      <c r="E189" s="113">
        <v>44166</v>
      </c>
      <c r="F189" s="96" t="s">
        <v>53</v>
      </c>
      <c r="G189" s="103" t="s">
        <v>503</v>
      </c>
      <c r="H189" s="104">
        <v>595105</v>
      </c>
      <c r="I189" s="104">
        <v>0</v>
      </c>
      <c r="J189" s="104">
        <f t="shared" si="6"/>
        <v>595105</v>
      </c>
      <c r="K189" s="158" t="s">
        <v>316</v>
      </c>
      <c r="L189" s="94"/>
      <c r="M189" s="344">
        <f>IF(AND(J189=0,K189=Nguyen_nhan!$B$3),"Đúng",IF(AND(J189&lt;&gt;0,K189=Nguyen_nhan!$B$3),"Sai",""))</f>
      </c>
    </row>
    <row r="190" spans="1:13" s="160" customFormat="1" ht="34.5" customHeight="1">
      <c r="A190" s="99">
        <v>22</v>
      </c>
      <c r="B190" s="241" t="s">
        <v>571</v>
      </c>
      <c r="C190" s="113">
        <v>44196</v>
      </c>
      <c r="D190" s="241" t="s">
        <v>572</v>
      </c>
      <c r="E190" s="113">
        <v>44291</v>
      </c>
      <c r="F190" s="96" t="s">
        <v>209</v>
      </c>
      <c r="G190" s="103" t="s">
        <v>573</v>
      </c>
      <c r="H190" s="104">
        <v>17397</v>
      </c>
      <c r="I190" s="104">
        <v>0</v>
      </c>
      <c r="J190" s="104">
        <f t="shared" si="6"/>
        <v>17397</v>
      </c>
      <c r="K190" s="158" t="s">
        <v>316</v>
      </c>
      <c r="L190" s="94"/>
      <c r="M190" s="344">
        <f>IF(AND(J190=0,K190=Nguyen_nhan!$B$3),"Đúng",IF(AND(J190&lt;&gt;0,K190=Nguyen_nhan!$B$3),"Sai",""))</f>
      </c>
    </row>
    <row r="191" spans="1:13" s="160" customFormat="1" ht="34.5" customHeight="1">
      <c r="A191" s="99">
        <v>23</v>
      </c>
      <c r="B191" s="241" t="s">
        <v>574</v>
      </c>
      <c r="C191" s="113">
        <v>44095</v>
      </c>
      <c r="D191" s="241" t="s">
        <v>575</v>
      </c>
      <c r="E191" s="113">
        <v>44298</v>
      </c>
      <c r="F191" s="96" t="s">
        <v>53</v>
      </c>
      <c r="G191" s="103" t="s">
        <v>576</v>
      </c>
      <c r="H191" s="104">
        <v>427207</v>
      </c>
      <c r="I191" s="104">
        <v>0</v>
      </c>
      <c r="J191" s="104">
        <f t="shared" si="6"/>
        <v>427207</v>
      </c>
      <c r="K191" s="158" t="s">
        <v>316</v>
      </c>
      <c r="L191" s="94"/>
      <c r="M191" s="344">
        <f>IF(AND(J191=0,K191=Nguyen_nhan!$B$3),"Đúng",IF(AND(J191&lt;&gt;0,K191=Nguyen_nhan!$B$3),"Sai",""))</f>
      </c>
    </row>
    <row r="192" spans="1:13" s="160" customFormat="1" ht="34.5" customHeight="1">
      <c r="A192" s="99">
        <v>24</v>
      </c>
      <c r="B192" s="241" t="s">
        <v>577</v>
      </c>
      <c r="C192" s="113">
        <v>44098</v>
      </c>
      <c r="D192" s="241" t="s">
        <v>578</v>
      </c>
      <c r="E192" s="113">
        <v>44298</v>
      </c>
      <c r="F192" s="96" t="s">
        <v>53</v>
      </c>
      <c r="G192" s="103" t="s">
        <v>579</v>
      </c>
      <c r="H192" s="104">
        <v>298146</v>
      </c>
      <c r="I192" s="104">
        <v>0</v>
      </c>
      <c r="J192" s="104">
        <f t="shared" si="6"/>
        <v>298146</v>
      </c>
      <c r="K192" s="158" t="s">
        <v>316</v>
      </c>
      <c r="L192" s="94"/>
      <c r="M192" s="344">
        <f>IF(AND(J192=0,K192=Nguyen_nhan!$B$3),"Đúng",IF(AND(J192&lt;&gt;0,K192=Nguyen_nhan!$B$3),"Sai",""))</f>
      </c>
    </row>
    <row r="193" spans="1:13" s="160" customFormat="1" ht="34.5" customHeight="1">
      <c r="A193" s="99">
        <v>25</v>
      </c>
      <c r="B193" s="241" t="s">
        <v>350</v>
      </c>
      <c r="C193" s="113">
        <v>44155</v>
      </c>
      <c r="D193" s="241" t="s">
        <v>580</v>
      </c>
      <c r="E193" s="113">
        <v>44298</v>
      </c>
      <c r="F193" s="96" t="s">
        <v>53</v>
      </c>
      <c r="G193" s="103" t="s">
        <v>581</v>
      </c>
      <c r="H193" s="104">
        <v>29350</v>
      </c>
      <c r="I193" s="104">
        <v>0</v>
      </c>
      <c r="J193" s="104">
        <f t="shared" si="6"/>
        <v>29350</v>
      </c>
      <c r="K193" s="158" t="s">
        <v>316</v>
      </c>
      <c r="L193" s="94"/>
      <c r="M193" s="344">
        <f>IF(AND(J193=0,K193=Nguyen_nhan!$B$3),"Đúng",IF(AND(J193&lt;&gt;0,K193=Nguyen_nhan!$B$3),"Sai",""))</f>
      </c>
    </row>
    <row r="194" spans="1:13" s="160" customFormat="1" ht="34.5" customHeight="1">
      <c r="A194" s="99">
        <v>26</v>
      </c>
      <c r="B194" s="241" t="s">
        <v>353</v>
      </c>
      <c r="C194" s="113">
        <v>44099</v>
      </c>
      <c r="D194" s="241" t="s">
        <v>507</v>
      </c>
      <c r="E194" s="113">
        <v>44208</v>
      </c>
      <c r="F194" s="96" t="s">
        <v>209</v>
      </c>
      <c r="G194" s="103" t="s">
        <v>582</v>
      </c>
      <c r="H194" s="104">
        <v>153195</v>
      </c>
      <c r="I194" s="104">
        <v>0</v>
      </c>
      <c r="J194" s="104">
        <f t="shared" si="6"/>
        <v>153195</v>
      </c>
      <c r="K194" s="158" t="s">
        <v>316</v>
      </c>
      <c r="L194" s="94"/>
      <c r="M194" s="344">
        <f>IF(AND(J194=0,K194=Nguyen_nhan!$B$3),"Đúng",IF(AND(J194&lt;&gt;0,K194=Nguyen_nhan!$B$3),"Sai",""))</f>
      </c>
    </row>
    <row r="195" spans="1:13" s="160" customFormat="1" ht="34.5" customHeight="1">
      <c r="A195" s="99">
        <v>27</v>
      </c>
      <c r="B195" s="241" t="s">
        <v>361</v>
      </c>
      <c r="C195" s="113">
        <v>44153</v>
      </c>
      <c r="D195" s="241" t="s">
        <v>508</v>
      </c>
      <c r="E195" s="113">
        <v>44221</v>
      </c>
      <c r="F195" s="96" t="s">
        <v>52</v>
      </c>
      <c r="G195" s="103" t="s">
        <v>583</v>
      </c>
      <c r="H195" s="104">
        <v>255780</v>
      </c>
      <c r="I195" s="104">
        <v>0</v>
      </c>
      <c r="J195" s="104">
        <f t="shared" si="6"/>
        <v>255780</v>
      </c>
      <c r="K195" s="158" t="s">
        <v>316</v>
      </c>
      <c r="L195" s="94"/>
      <c r="M195" s="344">
        <f>IF(AND(J195=0,K195=Nguyen_nhan!$B$3),"Đúng",IF(AND(J195&lt;&gt;0,K195=Nguyen_nhan!$B$3),"Sai",""))</f>
      </c>
    </row>
    <row r="196" spans="1:13" s="160" customFormat="1" ht="34.5" customHeight="1">
      <c r="A196" s="99">
        <v>28</v>
      </c>
      <c r="B196" s="241" t="s">
        <v>458</v>
      </c>
      <c r="C196" s="113">
        <v>44103</v>
      </c>
      <c r="D196" s="241" t="s">
        <v>465</v>
      </c>
      <c r="E196" s="113">
        <v>44229</v>
      </c>
      <c r="F196" s="96" t="s">
        <v>53</v>
      </c>
      <c r="G196" s="103" t="s">
        <v>584</v>
      </c>
      <c r="H196" s="104">
        <v>330717</v>
      </c>
      <c r="I196" s="104">
        <v>0</v>
      </c>
      <c r="J196" s="104">
        <f t="shared" si="6"/>
        <v>330717</v>
      </c>
      <c r="K196" s="158" t="s">
        <v>196</v>
      </c>
      <c r="L196" s="94"/>
      <c r="M196" s="344">
        <f>IF(AND(J196=0,K196=Nguyen_nhan!$B$3),"Đúng",IF(AND(J196&lt;&gt;0,K196=Nguyen_nhan!$B$3),"Sai",""))</f>
      </c>
    </row>
    <row r="197" spans="1:13" s="160" customFormat="1" ht="34.5" customHeight="1">
      <c r="A197" s="99">
        <v>29</v>
      </c>
      <c r="B197" s="241" t="s">
        <v>453</v>
      </c>
      <c r="C197" s="113">
        <v>44089</v>
      </c>
      <c r="D197" s="241" t="s">
        <v>504</v>
      </c>
      <c r="E197" s="113">
        <v>44137</v>
      </c>
      <c r="F197" s="96" t="s">
        <v>52</v>
      </c>
      <c r="G197" s="103" t="s">
        <v>585</v>
      </c>
      <c r="H197" s="104">
        <v>850211</v>
      </c>
      <c r="I197" s="104">
        <v>0</v>
      </c>
      <c r="J197" s="104">
        <f t="shared" si="6"/>
        <v>850211</v>
      </c>
      <c r="K197" s="158" t="s">
        <v>316</v>
      </c>
      <c r="L197" s="94"/>
      <c r="M197" s="344">
        <f>IF(AND(J197=0,K197=Nguyen_nhan!$B$3),"Đúng",IF(AND(J197&lt;&gt;0,K197=Nguyen_nhan!$B$3),"Sai",""))</f>
      </c>
    </row>
    <row r="198" spans="1:13" s="160" customFormat="1" ht="34.5" customHeight="1">
      <c r="A198" s="99">
        <v>30</v>
      </c>
      <c r="B198" s="241" t="s">
        <v>410</v>
      </c>
      <c r="C198" s="113">
        <v>44083</v>
      </c>
      <c r="D198" s="241" t="s">
        <v>505</v>
      </c>
      <c r="E198" s="113">
        <v>44137</v>
      </c>
      <c r="F198" s="96" t="s">
        <v>50</v>
      </c>
      <c r="G198" s="103" t="s">
        <v>506</v>
      </c>
      <c r="H198" s="104">
        <v>123414</v>
      </c>
      <c r="I198" s="104">
        <v>0</v>
      </c>
      <c r="J198" s="104">
        <f t="shared" si="6"/>
        <v>123414</v>
      </c>
      <c r="K198" s="158" t="s">
        <v>316</v>
      </c>
      <c r="L198" s="94"/>
      <c r="M198" s="344">
        <f>IF(AND(J198=0,K198=Nguyen_nhan!$B$3),"Đúng",IF(AND(J198&lt;&gt;0,K198=Nguyen_nhan!$B$3),"Sai",""))</f>
      </c>
    </row>
    <row r="199" spans="1:13" s="160" customFormat="1" ht="34.5" customHeight="1">
      <c r="A199" s="99">
        <v>31</v>
      </c>
      <c r="B199" s="241" t="s">
        <v>351</v>
      </c>
      <c r="C199" s="113">
        <v>44337</v>
      </c>
      <c r="D199" s="241" t="s">
        <v>586</v>
      </c>
      <c r="E199" s="113">
        <v>44379</v>
      </c>
      <c r="F199" s="96" t="s">
        <v>52</v>
      </c>
      <c r="G199" s="103" t="s">
        <v>587</v>
      </c>
      <c r="H199" s="104">
        <v>1227074</v>
      </c>
      <c r="I199" s="104">
        <v>600000</v>
      </c>
      <c r="J199" s="104">
        <f t="shared" si="6"/>
        <v>627074</v>
      </c>
      <c r="K199" s="158" t="s">
        <v>316</v>
      </c>
      <c r="L199" s="94"/>
      <c r="M199" s="344">
        <f>IF(AND(J199=0,K199=Nguyen_nhan!$B$3),"Đúng",IF(AND(J199&lt;&gt;0,K199=Nguyen_nhan!$B$3),"Sai",""))</f>
      </c>
    </row>
    <row r="200" spans="1:13" s="160" customFormat="1" ht="34.5" customHeight="1">
      <c r="A200" s="99">
        <v>32</v>
      </c>
      <c r="B200" s="241" t="s">
        <v>431</v>
      </c>
      <c r="C200" s="113">
        <v>43963</v>
      </c>
      <c r="D200" s="241" t="s">
        <v>588</v>
      </c>
      <c r="E200" s="113">
        <v>44229</v>
      </c>
      <c r="F200" s="96" t="s">
        <v>53</v>
      </c>
      <c r="G200" s="103" t="s">
        <v>457</v>
      </c>
      <c r="H200" s="104">
        <v>104865</v>
      </c>
      <c r="I200" s="104">
        <v>0</v>
      </c>
      <c r="J200" s="104">
        <f t="shared" si="6"/>
        <v>104865</v>
      </c>
      <c r="K200" s="158" t="s">
        <v>316</v>
      </c>
      <c r="L200" s="94"/>
      <c r="M200" s="344">
        <f>IF(AND(J200=0,K200=Nguyen_nhan!$B$3),"Đúng",IF(AND(J200&lt;&gt;0,K200=Nguyen_nhan!$B$3),"Sai",""))</f>
      </c>
    </row>
    <row r="201" spans="1:13" s="160" customFormat="1" ht="34.5" customHeight="1">
      <c r="A201" s="99">
        <v>33</v>
      </c>
      <c r="B201" s="241" t="s">
        <v>373</v>
      </c>
      <c r="C201" s="113">
        <v>44279</v>
      </c>
      <c r="D201" s="241" t="s">
        <v>589</v>
      </c>
      <c r="E201" s="113">
        <v>44333</v>
      </c>
      <c r="F201" s="96" t="s">
        <v>53</v>
      </c>
      <c r="G201" s="103" t="s">
        <v>590</v>
      </c>
      <c r="H201" s="104">
        <v>458599</v>
      </c>
      <c r="I201" s="104">
        <v>0</v>
      </c>
      <c r="J201" s="104">
        <f t="shared" si="6"/>
        <v>458599</v>
      </c>
      <c r="K201" s="158" t="s">
        <v>316</v>
      </c>
      <c r="L201" s="94"/>
      <c r="M201" s="344">
        <f>IF(AND(J201=0,K201=Nguyen_nhan!$B$3),"Đúng",IF(AND(J201&lt;&gt;0,K201=Nguyen_nhan!$B$3),"Sai",""))</f>
      </c>
    </row>
    <row r="202" spans="1:13" s="160" customFormat="1" ht="34.5" customHeight="1">
      <c r="A202" s="99">
        <v>34</v>
      </c>
      <c r="B202" s="241" t="s">
        <v>591</v>
      </c>
      <c r="C202" s="113">
        <v>44102</v>
      </c>
      <c r="D202" s="241" t="s">
        <v>592</v>
      </c>
      <c r="E202" s="113">
        <v>44333</v>
      </c>
      <c r="F202" s="96" t="s">
        <v>53</v>
      </c>
      <c r="G202" s="103" t="s">
        <v>593</v>
      </c>
      <c r="H202" s="104">
        <v>265534</v>
      </c>
      <c r="I202" s="104">
        <v>0</v>
      </c>
      <c r="J202" s="104">
        <f t="shared" si="6"/>
        <v>265534</v>
      </c>
      <c r="K202" s="158" t="s">
        <v>316</v>
      </c>
      <c r="L202" s="94"/>
      <c r="M202" s="344">
        <f>IF(AND(J202=0,K202=Nguyen_nhan!$B$3),"Đúng",IF(AND(J202&lt;&gt;0,K202=Nguyen_nhan!$B$3),"Sai",""))</f>
      </c>
    </row>
    <row r="203" spans="1:13" s="160" customFormat="1" ht="34.5" customHeight="1">
      <c r="A203" s="99">
        <v>35</v>
      </c>
      <c r="B203" s="241" t="s">
        <v>350</v>
      </c>
      <c r="C203" s="113">
        <v>44263</v>
      </c>
      <c r="D203" s="241" t="s">
        <v>446</v>
      </c>
      <c r="E203" s="113">
        <v>44333</v>
      </c>
      <c r="F203" s="96" t="s">
        <v>53</v>
      </c>
      <c r="G203" s="103" t="s">
        <v>594</v>
      </c>
      <c r="H203" s="104">
        <v>494913</v>
      </c>
      <c r="I203" s="104">
        <v>391675</v>
      </c>
      <c r="J203" s="104">
        <f t="shared" si="6"/>
        <v>103238</v>
      </c>
      <c r="K203" s="158" t="s">
        <v>316</v>
      </c>
      <c r="L203" s="94"/>
      <c r="M203" s="344">
        <f>IF(AND(J203=0,K203=Nguyen_nhan!$B$3),"Đúng",IF(AND(J203&lt;&gt;0,K203=Nguyen_nhan!$B$3),"Sai",""))</f>
      </c>
    </row>
    <row r="204" spans="1:13" s="160" customFormat="1" ht="34.5" customHeight="1">
      <c r="A204" s="99">
        <v>36</v>
      </c>
      <c r="B204" s="241" t="s">
        <v>358</v>
      </c>
      <c r="C204" s="113">
        <v>44364</v>
      </c>
      <c r="D204" s="241" t="s">
        <v>595</v>
      </c>
      <c r="E204" s="113">
        <v>44384</v>
      </c>
      <c r="F204" s="96" t="s">
        <v>43</v>
      </c>
      <c r="G204" s="103" t="s">
        <v>596</v>
      </c>
      <c r="H204" s="104">
        <v>11962</v>
      </c>
      <c r="I204" s="104">
        <v>11962</v>
      </c>
      <c r="J204" s="104">
        <f t="shared" si="6"/>
        <v>0</v>
      </c>
      <c r="K204" s="158" t="s">
        <v>203</v>
      </c>
      <c r="L204" s="94"/>
      <c r="M204" s="344" t="str">
        <f>IF(AND(J204=0,K204=Nguyen_nhan!$B$3),"Đúng",IF(AND(J204&lt;&gt;0,K204=Nguyen_nhan!$B$3),"Sai",""))</f>
        <v>Đúng</v>
      </c>
    </row>
    <row r="205" spans="1:13" s="160" customFormat="1" ht="34.5" customHeight="1">
      <c r="A205" s="99">
        <v>37</v>
      </c>
      <c r="B205" s="241" t="s">
        <v>363</v>
      </c>
      <c r="C205" s="113">
        <v>44292</v>
      </c>
      <c r="D205" s="241" t="s">
        <v>597</v>
      </c>
      <c r="E205" s="113">
        <v>44384</v>
      </c>
      <c r="F205" s="96" t="s">
        <v>43</v>
      </c>
      <c r="G205" s="103" t="s">
        <v>598</v>
      </c>
      <c r="H205" s="104">
        <v>279666</v>
      </c>
      <c r="I205" s="104">
        <v>0</v>
      </c>
      <c r="J205" s="104">
        <f t="shared" si="6"/>
        <v>279666</v>
      </c>
      <c r="K205" s="158" t="s">
        <v>316</v>
      </c>
      <c r="L205" s="94"/>
      <c r="M205" s="344">
        <f>IF(AND(J205=0,K205=Nguyen_nhan!$B$3),"Đúng",IF(AND(J205&lt;&gt;0,K205=Nguyen_nhan!$B$3),"Sai",""))</f>
      </c>
    </row>
    <row r="206" spans="1:13" s="160" customFormat="1" ht="34.5" customHeight="1">
      <c r="A206" s="99">
        <v>38</v>
      </c>
      <c r="B206" s="241" t="s">
        <v>571</v>
      </c>
      <c r="C206" s="113">
        <v>44340</v>
      </c>
      <c r="D206" s="241" t="s">
        <v>630</v>
      </c>
      <c r="E206" s="113">
        <v>44426</v>
      </c>
      <c r="F206" s="96" t="s">
        <v>36</v>
      </c>
      <c r="G206" s="103" t="s">
        <v>631</v>
      </c>
      <c r="H206" s="104">
        <v>87868</v>
      </c>
      <c r="I206" s="104">
        <v>0</v>
      </c>
      <c r="J206" s="104">
        <f t="shared" si="6"/>
        <v>87868</v>
      </c>
      <c r="K206" s="158" t="s">
        <v>316</v>
      </c>
      <c r="L206" s="94"/>
      <c r="M206" s="344">
        <f>IF(AND(J206=0,K206=Nguyen_nhan!$B$3),"Đúng",IF(AND(J206&lt;&gt;0,K206=Nguyen_nhan!$B$3),"Sai",""))</f>
      </c>
    </row>
    <row r="207" spans="1:13" s="160" customFormat="1" ht="34.5" customHeight="1">
      <c r="A207" s="99">
        <v>39</v>
      </c>
      <c r="B207" s="241" t="s">
        <v>350</v>
      </c>
      <c r="C207" s="113">
        <v>44383</v>
      </c>
      <c r="D207" s="241" t="s">
        <v>405</v>
      </c>
      <c r="E207" s="113">
        <v>44470</v>
      </c>
      <c r="F207" s="96" t="s">
        <v>209</v>
      </c>
      <c r="G207" s="103" t="s">
        <v>657</v>
      </c>
      <c r="H207" s="104">
        <v>135714</v>
      </c>
      <c r="I207" s="104">
        <v>37</v>
      </c>
      <c r="J207" s="104">
        <f t="shared" si="6"/>
        <v>135677</v>
      </c>
      <c r="K207" s="158" t="s">
        <v>316</v>
      </c>
      <c r="L207" s="94"/>
      <c r="M207" s="344">
        <f>IF(AND(J207=0,K207=Nguyen_nhan!$B$3),"Đúng",IF(AND(J207&lt;&gt;0,K207=Nguyen_nhan!$B$3),"Sai",""))</f>
      </c>
    </row>
    <row r="208" spans="1:13" s="160" customFormat="1" ht="34.5" customHeight="1">
      <c r="A208" s="99">
        <v>40</v>
      </c>
      <c r="B208" s="241" t="s">
        <v>633</v>
      </c>
      <c r="C208" s="113">
        <v>44470</v>
      </c>
      <c r="D208" s="241" t="s">
        <v>361</v>
      </c>
      <c r="E208" s="113">
        <v>44470</v>
      </c>
      <c r="F208" s="96" t="s">
        <v>52</v>
      </c>
      <c r="G208" s="103" t="s">
        <v>658</v>
      </c>
      <c r="H208" s="104">
        <v>723038</v>
      </c>
      <c r="I208" s="104">
        <v>318891</v>
      </c>
      <c r="J208" s="104">
        <f t="shared" si="6"/>
        <v>404147</v>
      </c>
      <c r="K208" s="158" t="s">
        <v>196</v>
      </c>
      <c r="L208" s="94"/>
      <c r="M208" s="344">
        <f>IF(AND(J208=0,K208=Nguyen_nhan!$B$3),"Đúng",IF(AND(J208&lt;&gt;0,K208=Nguyen_nhan!$B$3),"Sai",""))</f>
      </c>
    </row>
    <row r="209" spans="1:13" s="160" customFormat="1" ht="34.5" customHeight="1">
      <c r="A209" s="99">
        <v>41</v>
      </c>
      <c r="B209" s="241" t="s">
        <v>349</v>
      </c>
      <c r="C209" s="113">
        <v>44407</v>
      </c>
      <c r="D209" s="241" t="s">
        <v>633</v>
      </c>
      <c r="E209" s="113">
        <v>44470</v>
      </c>
      <c r="F209" s="96" t="s">
        <v>209</v>
      </c>
      <c r="G209" s="103" t="s">
        <v>659</v>
      </c>
      <c r="H209" s="104">
        <v>2342921</v>
      </c>
      <c r="I209" s="104">
        <f>1258198</f>
        <v>1258198</v>
      </c>
      <c r="J209" s="104">
        <f t="shared" si="6"/>
        <v>1084723</v>
      </c>
      <c r="K209" s="158" t="s">
        <v>316</v>
      </c>
      <c r="L209" s="94"/>
      <c r="M209" s="344">
        <f>IF(AND(J209=0,K209=Nguyen_nhan!$B$3),"Đúng",IF(AND(J209&lt;&gt;0,K209=Nguyen_nhan!$B$3),"Sai",""))</f>
      </c>
    </row>
    <row r="210" spans="1:13" s="160" customFormat="1" ht="34.5" customHeight="1">
      <c r="A210" s="99">
        <v>42</v>
      </c>
      <c r="B210" s="241" t="s">
        <v>363</v>
      </c>
      <c r="C210" s="113">
        <v>44466</v>
      </c>
      <c r="D210" s="241" t="s">
        <v>660</v>
      </c>
      <c r="E210" s="113">
        <v>44536</v>
      </c>
      <c r="F210" s="96" t="s">
        <v>52</v>
      </c>
      <c r="G210" s="103" t="s">
        <v>661</v>
      </c>
      <c r="H210" s="104">
        <v>1464053</v>
      </c>
      <c r="I210" s="104">
        <v>1450000</v>
      </c>
      <c r="J210" s="104">
        <f t="shared" si="6"/>
        <v>14053</v>
      </c>
      <c r="K210" s="158" t="s">
        <v>316</v>
      </c>
      <c r="L210" s="94"/>
      <c r="M210" s="344">
        <f>IF(AND(J210=0,K210=Nguyen_nhan!$B$3),"Đúng",IF(AND(J210&lt;&gt;0,K210=Nguyen_nhan!$B$3),"Sai",""))</f>
      </c>
    </row>
    <row r="211" spans="1:13" s="160" customFormat="1" ht="34.5" customHeight="1">
      <c r="A211" s="99">
        <v>43</v>
      </c>
      <c r="B211" s="241" t="s">
        <v>433</v>
      </c>
      <c r="C211" s="113">
        <v>44396</v>
      </c>
      <c r="D211" s="241" t="s">
        <v>662</v>
      </c>
      <c r="E211" s="113">
        <v>44470</v>
      </c>
      <c r="F211" s="96" t="s">
        <v>52</v>
      </c>
      <c r="G211" s="103" t="s">
        <v>663</v>
      </c>
      <c r="H211" s="104">
        <v>1070181</v>
      </c>
      <c r="I211" s="104">
        <v>735494</v>
      </c>
      <c r="J211" s="104">
        <f t="shared" si="6"/>
        <v>334687</v>
      </c>
      <c r="K211" s="158" t="s">
        <v>196</v>
      </c>
      <c r="L211" s="94"/>
      <c r="M211" s="344">
        <f>IF(AND(J211=0,K211=Nguyen_nhan!$B$3),"Đúng",IF(AND(J211&lt;&gt;0,K211=Nguyen_nhan!$B$3),"Sai",""))</f>
      </c>
    </row>
    <row r="212" spans="1:13" s="160" customFormat="1" ht="34.5" customHeight="1">
      <c r="A212" s="99">
        <v>44</v>
      </c>
      <c r="B212" s="241" t="s">
        <v>355</v>
      </c>
      <c r="C212" s="113">
        <v>44461</v>
      </c>
      <c r="D212" s="241" t="s">
        <v>664</v>
      </c>
      <c r="E212" s="113">
        <v>44550</v>
      </c>
      <c r="F212" s="96" t="s">
        <v>50</v>
      </c>
      <c r="G212" s="103" t="s">
        <v>582</v>
      </c>
      <c r="H212" s="104">
        <v>528682</v>
      </c>
      <c r="I212" s="104">
        <v>204459</v>
      </c>
      <c r="J212" s="104">
        <f t="shared" si="6"/>
        <v>324223</v>
      </c>
      <c r="K212" s="158" t="s">
        <v>196</v>
      </c>
      <c r="L212" s="94"/>
      <c r="M212" s="344">
        <f>IF(AND(J212=0,K212=Nguyen_nhan!$B$3),"Đúng",IF(AND(J212&lt;&gt;0,K212=Nguyen_nhan!$B$3),"Sai",""))</f>
      </c>
    </row>
    <row r="213" spans="1:13" s="160" customFormat="1" ht="34.5" customHeight="1">
      <c r="A213" s="99">
        <v>45</v>
      </c>
      <c r="B213" s="241" t="s">
        <v>453</v>
      </c>
      <c r="C213" s="113">
        <v>44466</v>
      </c>
      <c r="D213" s="241" t="s">
        <v>665</v>
      </c>
      <c r="E213" s="113">
        <v>44571</v>
      </c>
      <c r="F213" s="96" t="s">
        <v>52</v>
      </c>
      <c r="G213" s="103" t="s">
        <v>666</v>
      </c>
      <c r="H213" s="104">
        <v>1075095</v>
      </c>
      <c r="I213" s="104">
        <v>0</v>
      </c>
      <c r="J213" s="104">
        <f t="shared" si="6"/>
        <v>1075095</v>
      </c>
      <c r="K213" s="158" t="s">
        <v>196</v>
      </c>
      <c r="L213" s="94"/>
      <c r="M213" s="344">
        <f>IF(AND(J213=0,K213=Nguyen_nhan!$B$3),"Đúng",IF(AND(J213&lt;&gt;0,K213=Nguyen_nhan!$B$3),"Sai",""))</f>
      </c>
    </row>
    <row r="214" spans="1:13" s="160" customFormat="1" ht="34.5" customHeight="1">
      <c r="A214" s="99">
        <v>46</v>
      </c>
      <c r="B214" s="241" t="s">
        <v>445</v>
      </c>
      <c r="C214" s="113">
        <v>44482</v>
      </c>
      <c r="D214" s="241" t="s">
        <v>667</v>
      </c>
      <c r="E214" s="113">
        <v>44621</v>
      </c>
      <c r="F214" s="96" t="s">
        <v>43</v>
      </c>
      <c r="G214" s="103" t="s">
        <v>668</v>
      </c>
      <c r="H214" s="104">
        <v>303087</v>
      </c>
      <c r="I214" s="104">
        <v>57516</v>
      </c>
      <c r="J214" s="104">
        <f t="shared" si="6"/>
        <v>245571</v>
      </c>
      <c r="K214" s="158" t="s">
        <v>196</v>
      </c>
      <c r="L214" s="94"/>
      <c r="M214" s="344">
        <f>IF(AND(J214=0,K214=Nguyen_nhan!$B$3),"Đúng",IF(AND(J214&lt;&gt;0,K214=Nguyen_nhan!$B$3),"Sai",""))</f>
      </c>
    </row>
    <row r="215" spans="1:13" s="160" customFormat="1" ht="34.5" customHeight="1">
      <c r="A215" s="99">
        <v>47</v>
      </c>
      <c r="B215" s="241" t="s">
        <v>481</v>
      </c>
      <c r="C215" s="113">
        <v>44491</v>
      </c>
      <c r="D215" s="241" t="s">
        <v>669</v>
      </c>
      <c r="E215" s="113">
        <v>44621</v>
      </c>
      <c r="F215" s="96" t="s">
        <v>52</v>
      </c>
      <c r="G215" s="103" t="s">
        <v>670</v>
      </c>
      <c r="H215" s="104">
        <v>224471</v>
      </c>
      <c r="I215" s="104">
        <v>87474</v>
      </c>
      <c r="J215" s="104">
        <f t="shared" si="6"/>
        <v>136997</v>
      </c>
      <c r="K215" s="158" t="s">
        <v>196</v>
      </c>
      <c r="L215" s="94"/>
      <c r="M215" s="344">
        <f>IF(AND(J215=0,K215=Nguyen_nhan!$B$3),"Đúng",IF(AND(J215&lt;&gt;0,K215=Nguyen_nhan!$B$3),"Sai",""))</f>
      </c>
    </row>
    <row r="216" spans="1:13" s="160" customFormat="1" ht="34.5" customHeight="1">
      <c r="A216" s="99">
        <v>48</v>
      </c>
      <c r="B216" s="241" t="s">
        <v>360</v>
      </c>
      <c r="C216" s="113">
        <v>44550</v>
      </c>
      <c r="D216" s="241" t="s">
        <v>671</v>
      </c>
      <c r="E216" s="113">
        <v>44621</v>
      </c>
      <c r="F216" s="96" t="s">
        <v>52</v>
      </c>
      <c r="G216" s="103" t="s">
        <v>672</v>
      </c>
      <c r="H216" s="104">
        <v>861154</v>
      </c>
      <c r="I216" s="104">
        <v>667998</v>
      </c>
      <c r="J216" s="104">
        <f t="shared" si="6"/>
        <v>193156</v>
      </c>
      <c r="K216" s="158" t="s">
        <v>316</v>
      </c>
      <c r="L216" s="94"/>
      <c r="M216" s="344">
        <f>IF(AND(J216=0,K216=Nguyen_nhan!$B$3),"Đúng",IF(AND(J216&lt;&gt;0,K216=Nguyen_nhan!$B$3),"Sai",""))</f>
      </c>
    </row>
    <row r="217" spans="1:13" s="160" customFormat="1" ht="34.5" customHeight="1">
      <c r="A217" s="99">
        <v>49</v>
      </c>
      <c r="B217" s="241" t="s">
        <v>351</v>
      </c>
      <c r="C217" s="113">
        <v>44588</v>
      </c>
      <c r="D217" s="241" t="s">
        <v>673</v>
      </c>
      <c r="E217" s="113">
        <v>44641</v>
      </c>
      <c r="F217" s="96" t="s">
        <v>36</v>
      </c>
      <c r="G217" s="103" t="s">
        <v>670</v>
      </c>
      <c r="H217" s="104">
        <v>309637</v>
      </c>
      <c r="I217" s="104">
        <v>199487</v>
      </c>
      <c r="J217" s="104">
        <f t="shared" si="6"/>
        <v>110150</v>
      </c>
      <c r="K217" s="158" t="s">
        <v>316</v>
      </c>
      <c r="L217" s="94"/>
      <c r="M217" s="344">
        <f>IF(AND(J217=0,K217=Nguyen_nhan!$B$3),"Đúng",IF(AND(J217&lt;&gt;0,K217=Nguyen_nhan!$B$3),"Sai",""))</f>
      </c>
    </row>
    <row r="218" spans="1:13" s="160" customFormat="1" ht="34.5" customHeight="1">
      <c r="A218" s="99">
        <v>50</v>
      </c>
      <c r="B218" s="241" t="s">
        <v>351</v>
      </c>
      <c r="C218" s="113">
        <v>44617</v>
      </c>
      <c r="D218" s="241" t="s">
        <v>685</v>
      </c>
      <c r="E218" s="113">
        <v>44687</v>
      </c>
      <c r="F218" s="96" t="s">
        <v>50</v>
      </c>
      <c r="G218" s="103" t="s">
        <v>659</v>
      </c>
      <c r="H218" s="104">
        <v>2651896</v>
      </c>
      <c r="I218" s="104">
        <v>1485676</v>
      </c>
      <c r="J218" s="104">
        <f t="shared" si="6"/>
        <v>1166220</v>
      </c>
      <c r="K218" s="158" t="s">
        <v>196</v>
      </c>
      <c r="L218" s="94"/>
      <c r="M218" s="344">
        <f>IF(AND(J218=0,K218=Nguyen_nhan!$B$3),"Đúng",IF(AND(J218&lt;&gt;0,K218=Nguyen_nhan!$B$3),"Sai",""))</f>
      </c>
    </row>
    <row r="219" spans="1:13" s="160" customFormat="1" ht="34.5" customHeight="1">
      <c r="A219" s="99">
        <v>51</v>
      </c>
      <c r="B219" s="241" t="s">
        <v>350</v>
      </c>
      <c r="C219" s="113">
        <v>44620</v>
      </c>
      <c r="D219" s="241" t="s">
        <v>686</v>
      </c>
      <c r="E219" s="113">
        <v>44687</v>
      </c>
      <c r="F219" s="96" t="s">
        <v>50</v>
      </c>
      <c r="G219" s="103" t="s">
        <v>687</v>
      </c>
      <c r="H219" s="104">
        <v>1526124</v>
      </c>
      <c r="I219" s="104">
        <v>0</v>
      </c>
      <c r="J219" s="104">
        <f t="shared" si="6"/>
        <v>1526124</v>
      </c>
      <c r="K219" s="158" t="s">
        <v>196</v>
      </c>
      <c r="L219" s="94"/>
      <c r="M219" s="344">
        <f>IF(AND(J219=0,K219=Nguyen_nhan!$B$3),"Đúng",IF(AND(J219&lt;&gt;0,K219=Nguyen_nhan!$B$3),"Sai",""))</f>
      </c>
    </row>
    <row r="220" spans="1:13" s="160" customFormat="1" ht="34.5" customHeight="1">
      <c r="A220" s="99">
        <v>52</v>
      </c>
      <c r="B220" s="241" t="s">
        <v>354</v>
      </c>
      <c r="C220" s="113">
        <v>44468</v>
      </c>
      <c r="D220" s="241" t="s">
        <v>688</v>
      </c>
      <c r="E220" s="113">
        <v>44687</v>
      </c>
      <c r="F220" s="96" t="s">
        <v>53</v>
      </c>
      <c r="G220" s="103" t="s">
        <v>689</v>
      </c>
      <c r="H220" s="104">
        <v>259216</v>
      </c>
      <c r="I220" s="104">
        <v>259216</v>
      </c>
      <c r="J220" s="104">
        <f t="shared" si="6"/>
        <v>0</v>
      </c>
      <c r="K220" s="158" t="s">
        <v>203</v>
      </c>
      <c r="L220" s="94"/>
      <c r="M220" s="344" t="str">
        <f>IF(AND(J220=0,K220=Nguyen_nhan!$B$3),"Đúng",IF(AND(J220&lt;&gt;0,K220=Nguyen_nhan!$B$3),"Sai",""))</f>
        <v>Đúng</v>
      </c>
    </row>
    <row r="221" spans="1:13" s="160" customFormat="1" ht="34.5" customHeight="1">
      <c r="A221" s="99">
        <v>53</v>
      </c>
      <c r="B221" s="241" t="s">
        <v>351</v>
      </c>
      <c r="C221" s="113">
        <v>44460</v>
      </c>
      <c r="D221" s="241" t="s">
        <v>690</v>
      </c>
      <c r="E221" s="113">
        <v>44697</v>
      </c>
      <c r="F221" s="96" t="s">
        <v>53</v>
      </c>
      <c r="G221" s="103" t="s">
        <v>691</v>
      </c>
      <c r="H221" s="104">
        <v>1025767</v>
      </c>
      <c r="I221" s="104">
        <v>790636</v>
      </c>
      <c r="J221" s="104">
        <f t="shared" si="6"/>
        <v>235131</v>
      </c>
      <c r="K221" s="158" t="s">
        <v>316</v>
      </c>
      <c r="L221" s="94"/>
      <c r="M221" s="344">
        <f>IF(AND(J221=0,K221=Nguyen_nhan!$B$3),"Đúng",IF(AND(J221&lt;&gt;0,K221=Nguyen_nhan!$B$3),"Sai",""))</f>
      </c>
    </row>
    <row r="222" spans="1:13" s="160" customFormat="1" ht="34.5" customHeight="1">
      <c r="A222" s="99">
        <v>54</v>
      </c>
      <c r="B222" s="241" t="s">
        <v>421</v>
      </c>
      <c r="C222" s="113">
        <v>44421</v>
      </c>
      <c r="D222" s="241" t="s">
        <v>692</v>
      </c>
      <c r="E222" s="113">
        <v>44697</v>
      </c>
      <c r="F222" s="96" t="s">
        <v>53</v>
      </c>
      <c r="G222" s="103" t="s">
        <v>693</v>
      </c>
      <c r="H222" s="104">
        <v>372862</v>
      </c>
      <c r="I222" s="104">
        <v>0</v>
      </c>
      <c r="J222" s="104">
        <f t="shared" si="6"/>
        <v>372862</v>
      </c>
      <c r="K222" s="158" t="s">
        <v>196</v>
      </c>
      <c r="L222" s="94"/>
      <c r="M222" s="344">
        <f>IF(AND(J222=0,K222=Nguyen_nhan!$B$3),"Đúng",IF(AND(J222&lt;&gt;0,K222=Nguyen_nhan!$B$3),"Sai",""))</f>
      </c>
    </row>
    <row r="223" spans="1:13" s="160" customFormat="1" ht="34.5" customHeight="1">
      <c r="A223" s="99">
        <v>55</v>
      </c>
      <c r="B223" s="241" t="s">
        <v>348</v>
      </c>
      <c r="C223" s="113">
        <v>44627</v>
      </c>
      <c r="D223" s="241" t="s">
        <v>694</v>
      </c>
      <c r="E223" s="113">
        <v>44725</v>
      </c>
      <c r="F223" s="96" t="s">
        <v>52</v>
      </c>
      <c r="G223" s="103" t="s">
        <v>828</v>
      </c>
      <c r="H223" s="104">
        <v>270844</v>
      </c>
      <c r="I223" s="104">
        <v>0</v>
      </c>
      <c r="J223" s="104">
        <f t="shared" si="6"/>
        <v>270844</v>
      </c>
      <c r="K223" s="158" t="s">
        <v>196</v>
      </c>
      <c r="L223" s="94"/>
      <c r="M223" s="344">
        <f>IF(AND(J223=0,K223=Nguyen_nhan!$B$3),"Đúng",IF(AND(J223&lt;&gt;0,K223=Nguyen_nhan!$B$3),"Sai",""))</f>
      </c>
    </row>
    <row r="224" spans="1:13" s="160" customFormat="1" ht="34.5" customHeight="1">
      <c r="A224" s="99">
        <v>56</v>
      </c>
      <c r="B224" s="241" t="s">
        <v>350</v>
      </c>
      <c r="C224" s="113">
        <v>44686</v>
      </c>
      <c r="D224" s="241" t="s">
        <v>695</v>
      </c>
      <c r="E224" s="113">
        <v>44725</v>
      </c>
      <c r="F224" s="96" t="s">
        <v>209</v>
      </c>
      <c r="G224" s="103" t="s">
        <v>696</v>
      </c>
      <c r="H224" s="104">
        <v>2304753</v>
      </c>
      <c r="I224" s="104">
        <v>1056860</v>
      </c>
      <c r="J224" s="104">
        <f t="shared" si="6"/>
        <v>1247893</v>
      </c>
      <c r="K224" s="158" t="s">
        <v>316</v>
      </c>
      <c r="L224" s="94"/>
      <c r="M224" s="344">
        <f>IF(AND(J224=0,K224=Nguyen_nhan!$B$3),"Đúng",IF(AND(J224&lt;&gt;0,K224=Nguyen_nhan!$B$3),"Sai",""))</f>
      </c>
    </row>
    <row r="225" spans="1:13" s="160" customFormat="1" ht="34.5" customHeight="1">
      <c r="A225" s="99">
        <v>57</v>
      </c>
      <c r="B225" s="241" t="s">
        <v>437</v>
      </c>
      <c r="C225" s="113">
        <v>44557</v>
      </c>
      <c r="D225" s="241" t="s">
        <v>714</v>
      </c>
      <c r="E225" s="113">
        <v>44783</v>
      </c>
      <c r="F225" s="96" t="s">
        <v>49</v>
      </c>
      <c r="G225" s="103" t="s">
        <v>715</v>
      </c>
      <c r="H225" s="104">
        <v>384087</v>
      </c>
      <c r="I225" s="104">
        <v>0</v>
      </c>
      <c r="J225" s="104">
        <f t="shared" si="6"/>
        <v>384087</v>
      </c>
      <c r="K225" s="158" t="s">
        <v>316</v>
      </c>
      <c r="L225" s="94"/>
      <c r="M225" s="344">
        <f>IF(AND(J225=0,K225=Nguyen_nhan!$B$3),"Đúng",IF(AND(J225&lt;&gt;0,K225=Nguyen_nhan!$B$3),"Sai",""))</f>
      </c>
    </row>
    <row r="226" spans="1:13" s="160" customFormat="1" ht="34.5" customHeight="1">
      <c r="A226" s="99">
        <v>58</v>
      </c>
      <c r="B226" s="241" t="s">
        <v>445</v>
      </c>
      <c r="C226" s="113">
        <v>44264</v>
      </c>
      <c r="D226" s="241" t="s">
        <v>716</v>
      </c>
      <c r="E226" s="113">
        <v>44783</v>
      </c>
      <c r="F226" s="96" t="s">
        <v>52</v>
      </c>
      <c r="G226" s="103" t="s">
        <v>569</v>
      </c>
      <c r="H226" s="104">
        <v>836851</v>
      </c>
      <c r="I226" s="104">
        <v>0</v>
      </c>
      <c r="J226" s="104">
        <f t="shared" si="6"/>
        <v>836851</v>
      </c>
      <c r="K226" s="158" t="s">
        <v>316</v>
      </c>
      <c r="L226" s="94"/>
      <c r="M226" s="344">
        <f>IF(AND(J226=0,K226=Nguyen_nhan!$B$3),"Đúng",IF(AND(J226&lt;&gt;0,K226=Nguyen_nhan!$B$3),"Sai",""))</f>
      </c>
    </row>
    <row r="227" spans="1:13" s="160" customFormat="1" ht="34.5" customHeight="1">
      <c r="A227" s="99">
        <v>59</v>
      </c>
      <c r="B227" s="241" t="s">
        <v>349</v>
      </c>
      <c r="C227" s="113">
        <v>44659</v>
      </c>
      <c r="D227" s="241" t="s">
        <v>438</v>
      </c>
      <c r="E227" s="113">
        <v>44838</v>
      </c>
      <c r="F227" s="96" t="s">
        <v>53</v>
      </c>
      <c r="G227" s="103" t="s">
        <v>754</v>
      </c>
      <c r="H227" s="104">
        <v>1327099</v>
      </c>
      <c r="I227" s="104">
        <v>100000</v>
      </c>
      <c r="J227" s="104">
        <f t="shared" si="6"/>
        <v>1227099</v>
      </c>
      <c r="K227" s="158" t="s">
        <v>196</v>
      </c>
      <c r="L227" s="94"/>
      <c r="M227" s="344">
        <f>IF(AND(J227=0,K227=Nguyen_nhan!$B$3),"Đúng",IF(AND(J227&lt;&gt;0,K227=Nguyen_nhan!$B$3),"Sai",""))</f>
      </c>
    </row>
    <row r="228" spans="1:13" s="160" customFormat="1" ht="34.5" customHeight="1">
      <c r="A228" s="99">
        <v>60</v>
      </c>
      <c r="B228" s="241" t="s">
        <v>348</v>
      </c>
      <c r="C228" s="113">
        <v>44764</v>
      </c>
      <c r="D228" s="241" t="s">
        <v>755</v>
      </c>
      <c r="E228" s="113">
        <v>44838</v>
      </c>
      <c r="F228" s="96" t="s">
        <v>52</v>
      </c>
      <c r="G228" s="103" t="s">
        <v>756</v>
      </c>
      <c r="H228" s="104">
        <v>177346</v>
      </c>
      <c r="I228" s="104">
        <v>0</v>
      </c>
      <c r="J228" s="104">
        <f t="shared" si="6"/>
        <v>177346</v>
      </c>
      <c r="K228" s="158" t="s">
        <v>196</v>
      </c>
      <c r="L228" s="94"/>
      <c r="M228" s="344">
        <f>IF(AND(J228=0,K228=Nguyen_nhan!$B$3),"Đúng",IF(AND(J228&lt;&gt;0,K228=Nguyen_nhan!$B$3),"Sai",""))</f>
      </c>
    </row>
    <row r="229" spans="1:13" s="160" customFormat="1" ht="34.5" customHeight="1">
      <c r="A229" s="99">
        <v>61</v>
      </c>
      <c r="B229" s="241" t="s">
        <v>355</v>
      </c>
      <c r="C229" s="113">
        <v>44811</v>
      </c>
      <c r="D229" s="241" t="s">
        <v>478</v>
      </c>
      <c r="E229" s="113">
        <v>44846</v>
      </c>
      <c r="F229" s="96" t="s">
        <v>209</v>
      </c>
      <c r="G229" s="103" t="s">
        <v>668</v>
      </c>
      <c r="H229" s="104">
        <v>718567</v>
      </c>
      <c r="I229" s="104">
        <v>0</v>
      </c>
      <c r="J229" s="104">
        <f t="shared" si="6"/>
        <v>718567</v>
      </c>
      <c r="K229" s="158" t="s">
        <v>196</v>
      </c>
      <c r="L229" s="94"/>
      <c r="M229" s="344">
        <f>IF(AND(J229=0,K229=Nguyen_nhan!$B$3),"Đúng",IF(AND(J229&lt;&gt;0,K229=Nguyen_nhan!$B$3),"Sai",""))</f>
      </c>
    </row>
    <row r="230" spans="1:13" s="160" customFormat="1" ht="34.5" customHeight="1">
      <c r="A230" s="99">
        <v>62</v>
      </c>
      <c r="B230" s="241" t="s">
        <v>351</v>
      </c>
      <c r="C230" s="113">
        <v>44732</v>
      </c>
      <c r="D230" s="241" t="s">
        <v>757</v>
      </c>
      <c r="E230" s="113">
        <v>44846</v>
      </c>
      <c r="F230" s="96" t="s">
        <v>50</v>
      </c>
      <c r="G230" s="103" t="s">
        <v>758</v>
      </c>
      <c r="H230" s="104">
        <v>3153366</v>
      </c>
      <c r="I230" s="104">
        <v>3153366</v>
      </c>
      <c r="J230" s="104">
        <f t="shared" si="6"/>
        <v>0</v>
      </c>
      <c r="K230" s="158" t="s">
        <v>203</v>
      </c>
      <c r="L230" s="94"/>
      <c r="M230" s="344" t="str">
        <f>IF(AND(J230=0,K230=Nguyen_nhan!$B$3),"Đúng",IF(AND(J230&lt;&gt;0,K230=Nguyen_nhan!$B$3),"Sai",""))</f>
        <v>Đúng</v>
      </c>
    </row>
    <row r="231" spans="1:13" s="160" customFormat="1" ht="34.5" customHeight="1">
      <c r="A231" s="99">
        <v>63</v>
      </c>
      <c r="B231" s="241" t="s">
        <v>445</v>
      </c>
      <c r="C231" s="113">
        <v>44830</v>
      </c>
      <c r="D231" s="241" t="s">
        <v>759</v>
      </c>
      <c r="E231" s="113">
        <v>44866</v>
      </c>
      <c r="F231" s="96" t="s">
        <v>53</v>
      </c>
      <c r="G231" s="103" t="s">
        <v>760</v>
      </c>
      <c r="H231" s="104">
        <v>487215</v>
      </c>
      <c r="I231" s="104">
        <v>0</v>
      </c>
      <c r="J231" s="104">
        <f t="shared" si="6"/>
        <v>487215</v>
      </c>
      <c r="K231" s="158" t="s">
        <v>196</v>
      </c>
      <c r="L231" s="94"/>
      <c r="M231" s="344">
        <f>IF(AND(J231=0,K231=Nguyen_nhan!$B$3),"Đúng",IF(AND(J231&lt;&gt;0,K231=Nguyen_nhan!$B$3),"Sai",""))</f>
      </c>
    </row>
    <row r="232" spans="1:13" s="160" customFormat="1" ht="34.5" customHeight="1">
      <c r="A232" s="99">
        <v>64</v>
      </c>
      <c r="B232" s="241" t="s">
        <v>436</v>
      </c>
      <c r="C232" s="113">
        <v>44832</v>
      </c>
      <c r="D232" s="241" t="s">
        <v>504</v>
      </c>
      <c r="E232" s="113">
        <v>44866</v>
      </c>
      <c r="F232" s="96" t="s">
        <v>50</v>
      </c>
      <c r="G232" s="103" t="s">
        <v>760</v>
      </c>
      <c r="H232" s="104">
        <v>490492</v>
      </c>
      <c r="I232" s="104">
        <v>0</v>
      </c>
      <c r="J232" s="104">
        <f t="shared" si="6"/>
        <v>490492</v>
      </c>
      <c r="K232" s="158" t="s">
        <v>196</v>
      </c>
      <c r="L232" s="94"/>
      <c r="M232" s="344">
        <f>IF(AND(J232=0,K232=Nguyen_nhan!$B$3),"Đúng",IF(AND(J232&lt;&gt;0,K232=Nguyen_nhan!$B$3),"Sai",""))</f>
      </c>
    </row>
    <row r="233" spans="1:13" s="160" customFormat="1" ht="34.5" customHeight="1">
      <c r="A233" s="99">
        <v>65</v>
      </c>
      <c r="B233" s="241" t="s">
        <v>455</v>
      </c>
      <c r="C233" s="113">
        <v>44827</v>
      </c>
      <c r="D233" s="241" t="s">
        <v>761</v>
      </c>
      <c r="E233" s="113">
        <v>44866</v>
      </c>
      <c r="F233" s="96" t="s">
        <v>53</v>
      </c>
      <c r="G233" s="103" t="s">
        <v>762</v>
      </c>
      <c r="H233" s="104">
        <v>319382</v>
      </c>
      <c r="I233" s="104">
        <v>0</v>
      </c>
      <c r="J233" s="104">
        <f t="shared" si="6"/>
        <v>319382</v>
      </c>
      <c r="K233" s="158" t="s">
        <v>197</v>
      </c>
      <c r="L233" s="94"/>
      <c r="M233" s="344">
        <f>IF(AND(J233=0,K233=Nguyen_nhan!$B$3),"Đúng",IF(AND(J233&lt;&gt;0,K233=Nguyen_nhan!$B$3),"Sai",""))</f>
      </c>
    </row>
    <row r="234" spans="1:13" s="160" customFormat="1" ht="34.5" customHeight="1">
      <c r="A234" s="99">
        <v>66</v>
      </c>
      <c r="B234" s="241" t="s">
        <v>351</v>
      </c>
      <c r="C234" s="113">
        <v>44315</v>
      </c>
      <c r="D234" s="241" t="s">
        <v>763</v>
      </c>
      <c r="E234" s="113">
        <v>44866</v>
      </c>
      <c r="F234" s="96" t="s">
        <v>53</v>
      </c>
      <c r="G234" s="103" t="s">
        <v>764</v>
      </c>
      <c r="H234" s="104">
        <v>820830</v>
      </c>
      <c r="I234" s="104">
        <v>0</v>
      </c>
      <c r="J234" s="104">
        <f t="shared" si="6"/>
        <v>820830</v>
      </c>
      <c r="K234" s="158" t="s">
        <v>196</v>
      </c>
      <c r="L234" s="94"/>
      <c r="M234" s="344">
        <f>IF(AND(J234=0,K234=Nguyen_nhan!$B$3),"Đúng",IF(AND(J234&lt;&gt;0,K234=Nguyen_nhan!$B$3),"Sai",""))</f>
      </c>
    </row>
    <row r="235" spans="1:13" s="160" customFormat="1" ht="34.5" customHeight="1">
      <c r="A235" s="99">
        <v>67</v>
      </c>
      <c r="B235" s="241" t="s">
        <v>349</v>
      </c>
      <c r="C235" s="113">
        <v>44572</v>
      </c>
      <c r="D235" s="241" t="s">
        <v>765</v>
      </c>
      <c r="E235" s="113">
        <v>44866</v>
      </c>
      <c r="F235" s="96" t="s">
        <v>53</v>
      </c>
      <c r="G235" s="103" t="s">
        <v>766</v>
      </c>
      <c r="H235" s="104">
        <v>778324</v>
      </c>
      <c r="I235" s="104">
        <v>0</v>
      </c>
      <c r="J235" s="104">
        <f t="shared" si="6"/>
        <v>778324</v>
      </c>
      <c r="K235" s="158" t="s">
        <v>196</v>
      </c>
      <c r="L235" s="94"/>
      <c r="M235" s="344">
        <f>IF(AND(J235=0,K235=Nguyen_nhan!$B$3),"Đúng",IF(AND(J235&lt;&gt;0,K235=Nguyen_nhan!$B$3),"Sai",""))</f>
      </c>
    </row>
    <row r="236" spans="1:13" s="160" customFormat="1" ht="34.5" customHeight="1">
      <c r="A236" s="99">
        <v>68</v>
      </c>
      <c r="B236" s="241" t="s">
        <v>577</v>
      </c>
      <c r="C236" s="113">
        <v>44791</v>
      </c>
      <c r="D236" s="241" t="s">
        <v>456</v>
      </c>
      <c r="E236" s="113">
        <v>44875</v>
      </c>
      <c r="F236" s="96" t="s">
        <v>50</v>
      </c>
      <c r="G236" s="103" t="s">
        <v>767</v>
      </c>
      <c r="H236" s="104">
        <v>792236</v>
      </c>
      <c r="I236" s="104">
        <v>0</v>
      </c>
      <c r="J236" s="104">
        <f t="shared" si="6"/>
        <v>792236</v>
      </c>
      <c r="K236" s="158" t="s">
        <v>196</v>
      </c>
      <c r="L236" s="94"/>
      <c r="M236" s="344">
        <f>IF(AND(J236=0,K236=Nguyen_nhan!$B$3),"Đúng",IF(AND(J236&lt;&gt;0,K236=Nguyen_nhan!$B$3),"Sai",""))</f>
      </c>
    </row>
    <row r="237" spans="1:13" s="160" customFormat="1" ht="34.5" customHeight="1">
      <c r="A237" s="99">
        <v>69</v>
      </c>
      <c r="B237" s="241" t="s">
        <v>350</v>
      </c>
      <c r="C237" s="113">
        <v>44880</v>
      </c>
      <c r="D237" s="241" t="s">
        <v>768</v>
      </c>
      <c r="E237" s="113">
        <v>44910</v>
      </c>
      <c r="F237" s="96" t="s">
        <v>52</v>
      </c>
      <c r="G237" s="103" t="s">
        <v>769</v>
      </c>
      <c r="H237" s="104">
        <v>1356524</v>
      </c>
      <c r="I237" s="104">
        <v>1356524</v>
      </c>
      <c r="J237" s="104">
        <f t="shared" si="6"/>
        <v>0</v>
      </c>
      <c r="K237" s="158" t="s">
        <v>203</v>
      </c>
      <c r="L237" s="94"/>
      <c r="M237" s="344" t="str">
        <f>IF(AND(J237=0,K237=Nguyen_nhan!$B$3),"Đúng",IF(AND(J237&lt;&gt;0,K237=Nguyen_nhan!$B$3),"Sai",""))</f>
        <v>Đúng</v>
      </c>
    </row>
    <row r="238" spans="1:13" s="160" customFormat="1" ht="34.5" customHeight="1">
      <c r="A238" s="99">
        <v>70</v>
      </c>
      <c r="B238" s="241" t="s">
        <v>447</v>
      </c>
      <c r="C238" s="113">
        <v>44376</v>
      </c>
      <c r="D238" s="241" t="s">
        <v>574</v>
      </c>
      <c r="E238" s="113">
        <v>44838</v>
      </c>
      <c r="F238" s="96" t="s">
        <v>53</v>
      </c>
      <c r="G238" s="103" t="s">
        <v>636</v>
      </c>
      <c r="H238" s="104">
        <v>471996</v>
      </c>
      <c r="I238" s="104">
        <v>0</v>
      </c>
      <c r="J238" s="104">
        <f t="shared" si="6"/>
        <v>471996</v>
      </c>
      <c r="K238" s="158" t="s">
        <v>316</v>
      </c>
      <c r="L238" s="94"/>
      <c r="M238" s="344">
        <f>IF(AND(J238=0,K238=Nguyen_nhan!$B$3),"Đúng",IF(AND(J238&lt;&gt;0,K238=Nguyen_nhan!$B$3),"Sai",""))</f>
      </c>
    </row>
    <row r="239" spans="1:13" s="160" customFormat="1" ht="34.5" customHeight="1">
      <c r="A239" s="99">
        <v>71</v>
      </c>
      <c r="B239" s="241" t="s">
        <v>350</v>
      </c>
      <c r="C239" s="113">
        <v>44880</v>
      </c>
      <c r="D239" s="241" t="s">
        <v>770</v>
      </c>
      <c r="E239" s="113">
        <v>44978</v>
      </c>
      <c r="F239" s="96" t="s">
        <v>50</v>
      </c>
      <c r="G239" s="103" t="s">
        <v>771</v>
      </c>
      <c r="H239" s="104">
        <v>829584</v>
      </c>
      <c r="I239" s="104">
        <v>0</v>
      </c>
      <c r="J239" s="104">
        <f t="shared" si="6"/>
        <v>829584</v>
      </c>
      <c r="K239" s="158" t="s">
        <v>196</v>
      </c>
      <c r="L239" s="94"/>
      <c r="M239" s="344">
        <f>IF(AND(J239=0,K239=Nguyen_nhan!$B$3),"Đúng",IF(AND(J239&lt;&gt;0,K239=Nguyen_nhan!$B$3),"Sai",""))</f>
      </c>
    </row>
    <row r="240" spans="1:13" s="160" customFormat="1" ht="34.5" customHeight="1">
      <c r="A240" s="99">
        <v>72</v>
      </c>
      <c r="B240" s="241" t="s">
        <v>637</v>
      </c>
      <c r="C240" s="113">
        <v>44605</v>
      </c>
      <c r="D240" s="241" t="s">
        <v>508</v>
      </c>
      <c r="E240" s="113">
        <v>45000</v>
      </c>
      <c r="F240" s="96" t="s">
        <v>52</v>
      </c>
      <c r="G240" s="103" t="s">
        <v>772</v>
      </c>
      <c r="H240" s="104">
        <v>422797</v>
      </c>
      <c r="I240" s="104">
        <v>0</v>
      </c>
      <c r="J240" s="104">
        <f t="shared" si="6"/>
        <v>422797</v>
      </c>
      <c r="K240" s="158" t="s">
        <v>196</v>
      </c>
      <c r="L240" s="94"/>
      <c r="M240" s="344">
        <f>IF(AND(J240=0,K240=Nguyen_nhan!$B$3),"Đúng",IF(AND(J240&lt;&gt;0,K240=Nguyen_nhan!$B$3),"Sai",""))</f>
      </c>
    </row>
    <row r="241" spans="1:13" s="160" customFormat="1" ht="34.5" customHeight="1">
      <c r="A241" s="99">
        <v>73</v>
      </c>
      <c r="B241" s="242">
        <v>16</v>
      </c>
      <c r="C241" s="113">
        <v>44883</v>
      </c>
      <c r="D241" s="242">
        <v>139</v>
      </c>
      <c r="E241" s="113">
        <v>44929</v>
      </c>
      <c r="F241" s="96" t="s">
        <v>43</v>
      </c>
      <c r="G241" s="103" t="s">
        <v>809</v>
      </c>
      <c r="H241" s="104">
        <v>374761</v>
      </c>
      <c r="I241" s="104">
        <v>371377</v>
      </c>
      <c r="J241" s="104">
        <f t="shared" si="6"/>
        <v>3384</v>
      </c>
      <c r="K241" s="158" t="s">
        <v>196</v>
      </c>
      <c r="L241" s="94"/>
      <c r="M241" s="344">
        <f>IF(AND(J241=0,K241=Nguyen_nhan!$B$3),"Đúng",IF(AND(J241&lt;&gt;0,K241=Nguyen_nhan!$B$3),"Sai",""))</f>
      </c>
    </row>
    <row r="242" spans="1:13" s="160" customFormat="1" ht="34.5" customHeight="1">
      <c r="A242" s="99">
        <v>74</v>
      </c>
      <c r="B242" s="339" t="s">
        <v>433</v>
      </c>
      <c r="C242" s="113">
        <v>45007</v>
      </c>
      <c r="D242" s="242">
        <v>260</v>
      </c>
      <c r="E242" s="113">
        <v>45055</v>
      </c>
      <c r="F242" s="96" t="s">
        <v>53</v>
      </c>
      <c r="G242" s="103" t="s">
        <v>810</v>
      </c>
      <c r="H242" s="104">
        <v>410803</v>
      </c>
      <c r="I242" s="104">
        <v>0</v>
      </c>
      <c r="J242" s="104">
        <f t="shared" si="6"/>
        <v>410803</v>
      </c>
      <c r="K242" s="158" t="s">
        <v>196</v>
      </c>
      <c r="L242" s="94"/>
      <c r="M242" s="344">
        <f>IF(AND(J242=0,K242=Nguyen_nhan!$B$3),"Đúng",IF(AND(J242&lt;&gt;0,K242=Nguyen_nhan!$B$3),"Sai",""))</f>
      </c>
    </row>
    <row r="243" spans="1:13" s="160" customFormat="1" ht="34.5" customHeight="1">
      <c r="A243" s="99">
        <v>75</v>
      </c>
      <c r="B243" s="242">
        <v>31</v>
      </c>
      <c r="C243" s="113">
        <v>45177</v>
      </c>
      <c r="D243" s="242">
        <v>246</v>
      </c>
      <c r="E243" s="113">
        <v>45037</v>
      </c>
      <c r="F243" s="96" t="s">
        <v>53</v>
      </c>
      <c r="G243" s="103" t="s">
        <v>811</v>
      </c>
      <c r="H243" s="104">
        <v>240348</v>
      </c>
      <c r="I243" s="104">
        <v>0</v>
      </c>
      <c r="J243" s="104">
        <f t="shared" si="6"/>
        <v>240348</v>
      </c>
      <c r="K243" s="158" t="s">
        <v>196</v>
      </c>
      <c r="L243" s="94"/>
      <c r="M243" s="344">
        <f>IF(AND(J243=0,K243=Nguyen_nhan!$B$3),"Đúng",IF(AND(J243&lt;&gt;0,K243=Nguyen_nhan!$B$3),"Sai",""))</f>
      </c>
    </row>
    <row r="244" spans="1:13" s="160" customFormat="1" ht="34.5" customHeight="1">
      <c r="A244" s="99">
        <v>76</v>
      </c>
      <c r="B244" s="339" t="s">
        <v>348</v>
      </c>
      <c r="C244" s="113">
        <v>44917</v>
      </c>
      <c r="D244" s="242">
        <v>261</v>
      </c>
      <c r="E244" s="113">
        <v>45055</v>
      </c>
      <c r="F244" s="96" t="s">
        <v>50</v>
      </c>
      <c r="G244" s="103" t="s">
        <v>812</v>
      </c>
      <c r="H244" s="104">
        <v>942986</v>
      </c>
      <c r="I244" s="104">
        <v>0</v>
      </c>
      <c r="J244" s="104">
        <f t="shared" si="6"/>
        <v>942986</v>
      </c>
      <c r="K244" s="158" t="s">
        <v>196</v>
      </c>
      <c r="L244" s="94"/>
      <c r="M244" s="344">
        <f>IF(AND(J244=0,K244=Nguyen_nhan!$B$3),"Đúng",IF(AND(J244&lt;&gt;0,K244=Nguyen_nhan!$B$3),"Sai",""))</f>
      </c>
    </row>
    <row r="245" spans="1:13" s="160" customFormat="1" ht="34.5" customHeight="1">
      <c r="A245" s="99">
        <v>77</v>
      </c>
      <c r="B245" s="339" t="s">
        <v>349</v>
      </c>
      <c r="C245" s="113">
        <v>44943</v>
      </c>
      <c r="D245" s="242">
        <v>272</v>
      </c>
      <c r="E245" s="113">
        <v>45061</v>
      </c>
      <c r="F245" s="96" t="s">
        <v>50</v>
      </c>
      <c r="G245" s="103" t="s">
        <v>813</v>
      </c>
      <c r="H245" s="104">
        <v>1019389</v>
      </c>
      <c r="I245" s="104">
        <v>0</v>
      </c>
      <c r="J245" s="104">
        <f t="shared" si="6"/>
        <v>1019389</v>
      </c>
      <c r="K245" s="158" t="s">
        <v>196</v>
      </c>
      <c r="L245" s="94"/>
      <c r="M245" s="344">
        <f>IF(AND(J245=0,K245=Nguyen_nhan!$B$3),"Đúng",IF(AND(J245&lt;&gt;0,K245=Nguyen_nhan!$B$3),"Sai",""))</f>
      </c>
    </row>
    <row r="246" spans="1:13" s="160" customFormat="1" ht="34.5" customHeight="1">
      <c r="A246" s="99">
        <v>78</v>
      </c>
      <c r="B246" s="339" t="s">
        <v>370</v>
      </c>
      <c r="C246" s="113">
        <v>45034</v>
      </c>
      <c r="D246" s="242">
        <v>291</v>
      </c>
      <c r="E246" s="113">
        <v>45082</v>
      </c>
      <c r="F246" s="96" t="s">
        <v>52</v>
      </c>
      <c r="G246" s="103" t="s">
        <v>814</v>
      </c>
      <c r="H246" s="104">
        <v>447737</v>
      </c>
      <c r="I246" s="104">
        <v>0</v>
      </c>
      <c r="J246" s="104">
        <f t="shared" si="6"/>
        <v>447737</v>
      </c>
      <c r="K246" s="158" t="s">
        <v>196</v>
      </c>
      <c r="L246" s="94"/>
      <c r="M246" s="344">
        <f>IF(AND(J246=0,K246=Nguyen_nhan!$B$3),"Đúng",IF(AND(J246&lt;&gt;0,K246=Nguyen_nhan!$B$3),"Sai",""))</f>
      </c>
    </row>
    <row r="247" spans="1:13" s="160" customFormat="1" ht="34.5" customHeight="1">
      <c r="A247" s="99">
        <v>79</v>
      </c>
      <c r="B247" s="242">
        <v>10</v>
      </c>
      <c r="C247" s="113">
        <v>44468</v>
      </c>
      <c r="D247" s="242">
        <v>101</v>
      </c>
      <c r="E247" s="113">
        <v>44550</v>
      </c>
      <c r="F247" s="96" t="s">
        <v>53</v>
      </c>
      <c r="G247" s="103" t="s">
        <v>837</v>
      </c>
      <c r="H247" s="104">
        <v>628</v>
      </c>
      <c r="I247" s="104">
        <v>628</v>
      </c>
      <c r="J247" s="104">
        <f t="shared" si="6"/>
        <v>0</v>
      </c>
      <c r="K247" s="158" t="s">
        <v>203</v>
      </c>
      <c r="L247" s="94"/>
      <c r="M247" s="344" t="str">
        <f>IF(AND(J247=0,K247=Nguyen_nhan!$B$3),"Đúng",IF(AND(J247&lt;&gt;0,K247=Nguyen_nhan!$B$3),"Sai",""))</f>
        <v>Đúng</v>
      </c>
    </row>
    <row r="248" spans="1:13" s="160" customFormat="1" ht="34.5" customHeight="1">
      <c r="A248" s="99">
        <v>80</v>
      </c>
      <c r="B248" s="242">
        <v>31</v>
      </c>
      <c r="C248" s="113">
        <v>44812</v>
      </c>
      <c r="D248" s="242">
        <v>246</v>
      </c>
      <c r="E248" s="113">
        <v>45037</v>
      </c>
      <c r="F248" s="96" t="s">
        <v>53</v>
      </c>
      <c r="G248" s="103" t="s">
        <v>838</v>
      </c>
      <c r="H248" s="104">
        <v>240348</v>
      </c>
      <c r="I248" s="104">
        <v>0</v>
      </c>
      <c r="J248" s="104">
        <f t="shared" si="6"/>
        <v>240348</v>
      </c>
      <c r="K248" s="158" t="s">
        <v>196</v>
      </c>
      <c r="L248" s="94"/>
      <c r="M248" s="344">
        <f>IF(AND(J248=0,K248=Nguyen_nhan!$B$3),"Đúng",IF(AND(J248&lt;&gt;0,K248=Nguyen_nhan!$B$3),"Sai",""))</f>
      </c>
    </row>
    <row r="249" spans="1:13" s="127" customFormat="1" ht="34.5" customHeight="1">
      <c r="A249" s="181" t="s">
        <v>330</v>
      </c>
      <c r="B249" s="356" t="s">
        <v>331</v>
      </c>
      <c r="C249" s="357"/>
      <c r="D249" s="197"/>
      <c r="E249" s="198"/>
      <c r="F249" s="199"/>
      <c r="G249" s="239"/>
      <c r="H249" s="188"/>
      <c r="I249" s="188"/>
      <c r="J249" s="188"/>
      <c r="K249" s="200"/>
      <c r="L249" s="239"/>
      <c r="M249" s="344">
        <f>IF(AND(J249=0,K249=Nguyen_nhan!$B$3),"Đúng",IF(AND(J249&lt;&gt;0,K249=Nguyen_nhan!$B$3),"Sai",""))</f>
      </c>
    </row>
    <row r="250" spans="1:13" s="64" customFormat="1" ht="34.5" customHeight="1">
      <c r="A250" s="228">
        <v>1</v>
      </c>
      <c r="B250" s="94" t="s">
        <v>674</v>
      </c>
      <c r="C250" s="95">
        <v>44386</v>
      </c>
      <c r="D250" s="94" t="s">
        <v>675</v>
      </c>
      <c r="E250" s="95">
        <v>44585</v>
      </c>
      <c r="F250" s="96" t="s">
        <v>49</v>
      </c>
      <c r="G250" s="97" t="s">
        <v>773</v>
      </c>
      <c r="H250" s="286">
        <v>40000</v>
      </c>
      <c r="I250" s="286">
        <v>40000</v>
      </c>
      <c r="J250" s="101">
        <f>H250-I250</f>
        <v>0</v>
      </c>
      <c r="K250" s="97" t="s">
        <v>203</v>
      </c>
      <c r="L250" s="98"/>
      <c r="M250" s="344" t="str">
        <f>IF(AND(J250=0,K250=Nguyen_nhan!$B$3),"Đúng",IF(AND(J250&lt;&gt;0,K250=Nguyen_nhan!$B$3),"Sai",""))</f>
        <v>Đúng</v>
      </c>
    </row>
    <row r="251" spans="1:13" s="64" customFormat="1" ht="34.5" customHeight="1">
      <c r="A251" s="228">
        <v>2</v>
      </c>
      <c r="B251" s="97" t="s">
        <v>776</v>
      </c>
      <c r="C251" s="95">
        <v>44448</v>
      </c>
      <c r="D251" s="94" t="s">
        <v>350</v>
      </c>
      <c r="E251" s="95">
        <v>44844</v>
      </c>
      <c r="F251" s="96" t="s">
        <v>53</v>
      </c>
      <c r="G251" s="97" t="s">
        <v>777</v>
      </c>
      <c r="H251" s="286">
        <v>621858</v>
      </c>
      <c r="I251" s="286">
        <v>621858</v>
      </c>
      <c r="J251" s="101">
        <f aca="true" t="shared" si="7" ref="J251:J256">H251-I251</f>
        <v>0</v>
      </c>
      <c r="K251" s="97" t="s">
        <v>204</v>
      </c>
      <c r="L251" s="98"/>
      <c r="M251" s="344">
        <f>IF(AND(J251=0,K251=Nguyen_nhan!$B$3),"Đúng",IF(AND(J251&lt;&gt;0,K251=Nguyen_nhan!$B$3),"Sai",""))</f>
      </c>
    </row>
    <row r="252" spans="1:13" s="64" customFormat="1" ht="34.5" customHeight="1">
      <c r="A252" s="228">
        <v>3</v>
      </c>
      <c r="B252" s="94" t="s">
        <v>774</v>
      </c>
      <c r="C252" s="95">
        <v>44309</v>
      </c>
      <c r="D252" s="94" t="s">
        <v>351</v>
      </c>
      <c r="E252" s="95">
        <v>44844</v>
      </c>
      <c r="F252" s="96" t="s">
        <v>53</v>
      </c>
      <c r="G252" s="97" t="s">
        <v>775</v>
      </c>
      <c r="H252" s="286">
        <v>177917</v>
      </c>
      <c r="I252" s="286">
        <v>156319</v>
      </c>
      <c r="J252" s="101">
        <f t="shared" si="7"/>
        <v>21598</v>
      </c>
      <c r="K252" s="97" t="s">
        <v>316</v>
      </c>
      <c r="L252" s="98"/>
      <c r="M252" s="344">
        <f>IF(AND(J252=0,K252=Nguyen_nhan!$B$3),"Đúng",IF(AND(J252&lt;&gt;0,K252=Nguyen_nhan!$B$3),"Sai",""))</f>
      </c>
    </row>
    <row r="253" spans="1:13" s="64" customFormat="1" ht="34.5" customHeight="1">
      <c r="A253" s="228">
        <v>4</v>
      </c>
      <c r="B253" s="97" t="s">
        <v>778</v>
      </c>
      <c r="C253" s="95">
        <v>44356</v>
      </c>
      <c r="D253" s="94" t="s">
        <v>363</v>
      </c>
      <c r="E253" s="95">
        <v>44845</v>
      </c>
      <c r="F253" s="96" t="s">
        <v>53</v>
      </c>
      <c r="G253" s="97" t="s">
        <v>779</v>
      </c>
      <c r="H253" s="286">
        <v>389173</v>
      </c>
      <c r="I253" s="286">
        <v>375800</v>
      </c>
      <c r="J253" s="101">
        <f t="shared" si="7"/>
        <v>13373</v>
      </c>
      <c r="K253" s="97" t="s">
        <v>316</v>
      </c>
      <c r="L253" s="98"/>
      <c r="M253" s="344">
        <f>IF(AND(J253=0,K253=Nguyen_nhan!$B$3),"Đúng",IF(AND(J253&lt;&gt;0,K253=Nguyen_nhan!$B$3),"Sai",""))</f>
      </c>
    </row>
    <row r="254" spans="1:13" s="64" customFormat="1" ht="34.5" customHeight="1">
      <c r="A254" s="228">
        <v>5</v>
      </c>
      <c r="B254" s="97" t="s">
        <v>784</v>
      </c>
      <c r="C254" s="95">
        <v>44789</v>
      </c>
      <c r="D254" s="94" t="s">
        <v>445</v>
      </c>
      <c r="E254" s="95" t="s">
        <v>785</v>
      </c>
      <c r="F254" s="96" t="s">
        <v>50</v>
      </c>
      <c r="G254" s="97" t="s">
        <v>786</v>
      </c>
      <c r="H254" s="286">
        <v>842416</v>
      </c>
      <c r="I254" s="286">
        <f>314976+381775</f>
        <v>696751</v>
      </c>
      <c r="J254" s="101">
        <f t="shared" si="7"/>
        <v>145665</v>
      </c>
      <c r="K254" s="97" t="s">
        <v>316</v>
      </c>
      <c r="L254" s="98"/>
      <c r="M254" s="344">
        <f>IF(AND(J254=0,K254=Nguyen_nhan!$B$3),"Đúng",IF(AND(J254&lt;&gt;0,K254=Nguyen_nhan!$B$3),"Sai",""))</f>
      </c>
    </row>
    <row r="255" spans="1:13" s="64" customFormat="1" ht="34.5" customHeight="1">
      <c r="A255" s="228">
        <v>6</v>
      </c>
      <c r="B255" s="97" t="s">
        <v>780</v>
      </c>
      <c r="C255" s="95">
        <v>44378</v>
      </c>
      <c r="D255" s="94" t="s">
        <v>430</v>
      </c>
      <c r="E255" s="95">
        <v>44845</v>
      </c>
      <c r="F255" s="96" t="s">
        <v>53</v>
      </c>
      <c r="G255" s="97" t="s">
        <v>781</v>
      </c>
      <c r="H255" s="286">
        <v>439169</v>
      </c>
      <c r="I255" s="286">
        <v>0</v>
      </c>
      <c r="J255" s="101">
        <f t="shared" si="7"/>
        <v>439169</v>
      </c>
      <c r="K255" s="97" t="s">
        <v>196</v>
      </c>
      <c r="L255" s="98"/>
      <c r="M255" s="344">
        <f>IF(AND(J255=0,K255=Nguyen_nhan!$B$3),"Đúng",IF(AND(J255&lt;&gt;0,K255=Nguyen_nhan!$B$3),"Sai",""))</f>
      </c>
    </row>
    <row r="256" spans="1:13" s="64" customFormat="1" ht="34.5" customHeight="1">
      <c r="A256" s="228">
        <v>7</v>
      </c>
      <c r="B256" s="97" t="s">
        <v>782</v>
      </c>
      <c r="C256" s="95">
        <v>44309</v>
      </c>
      <c r="D256" s="94" t="s">
        <v>354</v>
      </c>
      <c r="E256" s="95">
        <v>44845</v>
      </c>
      <c r="F256" s="96" t="s">
        <v>53</v>
      </c>
      <c r="G256" s="97" t="s">
        <v>783</v>
      </c>
      <c r="H256" s="286">
        <v>669839</v>
      </c>
      <c r="I256" s="286">
        <v>0</v>
      </c>
      <c r="J256" s="101">
        <f t="shared" si="7"/>
        <v>669839</v>
      </c>
      <c r="K256" s="97" t="s">
        <v>197</v>
      </c>
      <c r="L256" s="98"/>
      <c r="M256" s="344">
        <f>IF(AND(J256=0,K256=Nguyen_nhan!$B$3),"Đúng",IF(AND(J256&lt;&gt;0,K256=Nguyen_nhan!$B$3),"Sai",""))</f>
      </c>
    </row>
    <row r="257" spans="1:13" s="127" customFormat="1" ht="34.5" customHeight="1">
      <c r="A257" s="181" t="s">
        <v>332</v>
      </c>
      <c r="B257" s="356" t="s">
        <v>333</v>
      </c>
      <c r="C257" s="357"/>
      <c r="D257" s="191"/>
      <c r="E257" s="192"/>
      <c r="F257" s="193"/>
      <c r="G257" s="194"/>
      <c r="H257" s="187"/>
      <c r="I257" s="187"/>
      <c r="J257" s="187"/>
      <c r="K257" s="195"/>
      <c r="L257" s="196"/>
      <c r="M257" s="344">
        <f>IF(AND(J257=0,K257=Nguyen_nhan!$B$3),"Đúng",IF(AND(J257&lt;&gt;0,K257=Nguyen_nhan!$B$3),"Sai",""))</f>
      </c>
    </row>
    <row r="258" spans="1:13" s="64" customFormat="1" ht="34.5" customHeight="1">
      <c r="A258" s="228">
        <v>1</v>
      </c>
      <c r="B258" s="287" t="s">
        <v>348</v>
      </c>
      <c r="C258" s="268">
        <v>43756</v>
      </c>
      <c r="D258" s="288">
        <v>126</v>
      </c>
      <c r="E258" s="268">
        <v>44550</v>
      </c>
      <c r="F258" s="96" t="s">
        <v>209</v>
      </c>
      <c r="G258" s="96" t="s">
        <v>352</v>
      </c>
      <c r="H258" s="227">
        <v>14816</v>
      </c>
      <c r="I258" s="286">
        <v>14816</v>
      </c>
      <c r="J258" s="101">
        <f aca="true" t="shared" si="8" ref="J258:J269">H258-I258</f>
        <v>0</v>
      </c>
      <c r="K258" s="100" t="s">
        <v>203</v>
      </c>
      <c r="L258" s="98"/>
      <c r="M258" s="344" t="str">
        <f>IF(AND(J258=0,K258=Nguyen_nhan!$B$3),"Đúng",IF(AND(J258&lt;&gt;0,K258=Nguyen_nhan!$B$3),"Sai",""))</f>
        <v>Đúng</v>
      </c>
    </row>
    <row r="259" spans="1:13" s="64" customFormat="1" ht="34.5" customHeight="1">
      <c r="A259" s="228">
        <v>2</v>
      </c>
      <c r="B259" s="289">
        <v>12</v>
      </c>
      <c r="C259" s="290">
        <v>44168</v>
      </c>
      <c r="D259" s="291">
        <v>155</v>
      </c>
      <c r="E259" s="290">
        <v>44260</v>
      </c>
      <c r="F259" s="96" t="s">
        <v>212</v>
      </c>
      <c r="G259" s="292" t="s">
        <v>568</v>
      </c>
      <c r="H259" s="267">
        <v>701714</v>
      </c>
      <c r="I259" s="286">
        <v>701714</v>
      </c>
      <c r="J259" s="101">
        <f t="shared" si="8"/>
        <v>0</v>
      </c>
      <c r="K259" s="100" t="s">
        <v>203</v>
      </c>
      <c r="L259" s="98"/>
      <c r="M259" s="344" t="str">
        <f>IF(AND(J259=0,K259=Nguyen_nhan!$B$3),"Đúng",IF(AND(J259&lt;&gt;0,K259=Nguyen_nhan!$B$3),"Sai",""))</f>
        <v>Đúng</v>
      </c>
    </row>
    <row r="260" spans="1:13" s="64" customFormat="1" ht="34.5" customHeight="1">
      <c r="A260" s="228">
        <v>3</v>
      </c>
      <c r="B260" s="289">
        <v>17</v>
      </c>
      <c r="C260" s="290">
        <v>44809</v>
      </c>
      <c r="D260" s="291">
        <v>32</v>
      </c>
      <c r="E260" s="290">
        <v>44847</v>
      </c>
      <c r="F260" s="96" t="s">
        <v>43</v>
      </c>
      <c r="G260" s="244" t="s">
        <v>787</v>
      </c>
      <c r="H260" s="293">
        <v>2800</v>
      </c>
      <c r="I260" s="286">
        <v>2800</v>
      </c>
      <c r="J260" s="101">
        <f t="shared" si="8"/>
        <v>0</v>
      </c>
      <c r="K260" s="100" t="s">
        <v>204</v>
      </c>
      <c r="L260" s="98"/>
      <c r="M260" s="344">
        <f>IF(AND(J260=0,K260=Nguyen_nhan!$B$3),"Đúng",IF(AND(J260&lt;&gt;0,K260=Nguyen_nhan!$B$3),"Sai",""))</f>
      </c>
    </row>
    <row r="261" spans="1:13" s="64" customFormat="1" ht="34.5" customHeight="1">
      <c r="A261" s="228">
        <v>4</v>
      </c>
      <c r="B261" s="289">
        <v>27</v>
      </c>
      <c r="C261" s="290">
        <v>44403</v>
      </c>
      <c r="D261" s="291">
        <v>82</v>
      </c>
      <c r="E261" s="290">
        <v>44852</v>
      </c>
      <c r="F261" s="96" t="s">
        <v>50</v>
      </c>
      <c r="G261" s="244" t="s">
        <v>788</v>
      </c>
      <c r="H261" s="293">
        <v>333658</v>
      </c>
      <c r="I261" s="286">
        <v>0</v>
      </c>
      <c r="J261" s="101">
        <f t="shared" si="8"/>
        <v>333658</v>
      </c>
      <c r="K261" s="100" t="s">
        <v>196</v>
      </c>
      <c r="L261" s="98"/>
      <c r="M261" s="344">
        <f>IF(AND(J261=0,K261=Nguyen_nhan!$B$3),"Đúng",IF(AND(J261&lt;&gt;0,K261=Nguyen_nhan!$B$3),"Sai",""))</f>
      </c>
    </row>
    <row r="262" spans="1:13" s="64" customFormat="1" ht="34.5" customHeight="1">
      <c r="A262" s="228">
        <v>5</v>
      </c>
      <c r="B262" s="229" t="s">
        <v>351</v>
      </c>
      <c r="C262" s="268">
        <v>44291</v>
      </c>
      <c r="D262" s="288">
        <v>202</v>
      </c>
      <c r="E262" s="268">
        <v>44657</v>
      </c>
      <c r="F262" s="96" t="s">
        <v>53</v>
      </c>
      <c r="G262" s="96" t="s">
        <v>697</v>
      </c>
      <c r="H262" s="294">
        <v>423674</v>
      </c>
      <c r="I262" s="101">
        <v>348421</v>
      </c>
      <c r="J262" s="101">
        <f t="shared" si="8"/>
        <v>75253</v>
      </c>
      <c r="K262" s="100" t="s">
        <v>316</v>
      </c>
      <c r="L262" s="98"/>
      <c r="M262" s="344">
        <f>IF(AND(J262=0,K262=Nguyen_nhan!$B$3),"Đúng",IF(AND(J262&lt;&gt;0,K262=Nguyen_nhan!$B$3),"Sai",""))</f>
      </c>
    </row>
    <row r="263" spans="1:13" s="64" customFormat="1" ht="34.5" customHeight="1">
      <c r="A263" s="228">
        <v>6</v>
      </c>
      <c r="B263" s="229">
        <v>39</v>
      </c>
      <c r="C263" s="268">
        <v>43699</v>
      </c>
      <c r="D263" s="288">
        <v>214</v>
      </c>
      <c r="E263" s="268">
        <v>44669</v>
      </c>
      <c r="F263" s="96" t="s">
        <v>53</v>
      </c>
      <c r="G263" s="96" t="s">
        <v>698</v>
      </c>
      <c r="H263" s="294">
        <v>10117000</v>
      </c>
      <c r="I263" s="101">
        <v>0</v>
      </c>
      <c r="J263" s="101">
        <f t="shared" si="8"/>
        <v>10117000</v>
      </c>
      <c r="K263" s="100" t="s">
        <v>197</v>
      </c>
      <c r="L263" s="98"/>
      <c r="M263" s="344">
        <f>IF(AND(J263=0,K263=Nguyen_nhan!$B$3),"Đúng",IF(AND(J263&lt;&gt;0,K263=Nguyen_nhan!$B$3),"Sai",""))</f>
      </c>
    </row>
    <row r="264" spans="1:13" s="64" customFormat="1" ht="34.5" customHeight="1">
      <c r="A264" s="228">
        <v>7</v>
      </c>
      <c r="B264" s="229" t="s">
        <v>350</v>
      </c>
      <c r="C264" s="268">
        <v>44636</v>
      </c>
      <c r="D264" s="288">
        <v>83</v>
      </c>
      <c r="E264" s="268">
        <v>44852</v>
      </c>
      <c r="F264" s="96" t="s">
        <v>212</v>
      </c>
      <c r="G264" s="266" t="s">
        <v>789</v>
      </c>
      <c r="H264" s="295">
        <v>488164</v>
      </c>
      <c r="I264" s="101">
        <v>0</v>
      </c>
      <c r="J264" s="101">
        <f t="shared" si="8"/>
        <v>488164</v>
      </c>
      <c r="K264" s="100" t="s">
        <v>196</v>
      </c>
      <c r="L264" s="98"/>
      <c r="M264" s="344">
        <f>IF(AND(J264=0,K264=Nguyen_nhan!$B$3),"Đúng",IF(AND(J264&lt;&gt;0,K264=Nguyen_nhan!$B$3),"Sai",""))</f>
      </c>
    </row>
    <row r="265" spans="1:13" s="64" customFormat="1" ht="34.5" customHeight="1">
      <c r="A265" s="228">
        <v>8</v>
      </c>
      <c r="B265" s="229">
        <v>12</v>
      </c>
      <c r="C265" s="268">
        <v>44830</v>
      </c>
      <c r="D265" s="288">
        <v>142</v>
      </c>
      <c r="E265" s="268">
        <v>44921</v>
      </c>
      <c r="F265" s="96" t="s">
        <v>36</v>
      </c>
      <c r="G265" s="244" t="s">
        <v>790</v>
      </c>
      <c r="H265" s="294">
        <v>142750</v>
      </c>
      <c r="I265" s="101">
        <v>0</v>
      </c>
      <c r="J265" s="101">
        <f t="shared" si="8"/>
        <v>142750</v>
      </c>
      <c r="K265" s="100" t="s">
        <v>196</v>
      </c>
      <c r="L265" s="98"/>
      <c r="M265" s="344">
        <f>IF(AND(J265=0,K265=Nguyen_nhan!$B$3),"Đúng",IF(AND(J265&lt;&gt;0,K265=Nguyen_nhan!$B$3),"Sai",""))</f>
      </c>
    </row>
    <row r="266" spans="1:13" s="64" customFormat="1" ht="34.5" customHeight="1">
      <c r="A266" s="228">
        <v>9</v>
      </c>
      <c r="B266" s="229">
        <v>21</v>
      </c>
      <c r="C266" s="268">
        <v>44811</v>
      </c>
      <c r="D266" s="288">
        <v>143</v>
      </c>
      <c r="E266" s="268">
        <v>44921</v>
      </c>
      <c r="F266" s="96" t="s">
        <v>36</v>
      </c>
      <c r="G266" s="244" t="s">
        <v>791</v>
      </c>
      <c r="H266" s="294">
        <v>399120</v>
      </c>
      <c r="I266" s="101">
        <v>399120</v>
      </c>
      <c r="J266" s="101">
        <f t="shared" si="8"/>
        <v>0</v>
      </c>
      <c r="K266" s="100" t="s">
        <v>203</v>
      </c>
      <c r="L266" s="98"/>
      <c r="M266" s="344" t="str">
        <f>IF(AND(J266=0,K266=Nguyen_nhan!$B$3),"Đúng",IF(AND(J266&lt;&gt;0,K266=Nguyen_nhan!$B$3),"Sai",""))</f>
        <v>Đúng</v>
      </c>
    </row>
    <row r="267" spans="1:13" s="64" customFormat="1" ht="34.5" customHeight="1">
      <c r="A267" s="228">
        <v>10</v>
      </c>
      <c r="B267" s="229" t="s">
        <v>373</v>
      </c>
      <c r="C267" s="268">
        <v>45051</v>
      </c>
      <c r="D267" s="288">
        <v>257</v>
      </c>
      <c r="E267" s="268">
        <v>45089</v>
      </c>
      <c r="F267" s="96" t="s">
        <v>43</v>
      </c>
      <c r="G267" s="242" t="s">
        <v>815</v>
      </c>
      <c r="H267" s="294">
        <v>134000</v>
      </c>
      <c r="I267" s="101">
        <v>134000</v>
      </c>
      <c r="J267" s="101">
        <f t="shared" si="8"/>
        <v>0</v>
      </c>
      <c r="K267" s="100" t="s">
        <v>203</v>
      </c>
      <c r="L267" s="98"/>
      <c r="M267" s="344" t="str">
        <f>IF(AND(J267=0,K267=Nguyen_nhan!$B$3),"Đúng",IF(AND(J267&lt;&gt;0,K267=Nguyen_nhan!$B$3),"Sai",""))</f>
        <v>Đúng</v>
      </c>
    </row>
    <row r="268" spans="1:13" s="64" customFormat="1" ht="34.5" customHeight="1">
      <c r="A268" s="228">
        <v>11</v>
      </c>
      <c r="B268" s="229" t="s">
        <v>373</v>
      </c>
      <c r="C268" s="268">
        <v>45051</v>
      </c>
      <c r="D268" s="288">
        <v>258</v>
      </c>
      <c r="E268" s="268">
        <v>45089</v>
      </c>
      <c r="F268" s="96" t="s">
        <v>43</v>
      </c>
      <c r="G268" s="242" t="s">
        <v>815</v>
      </c>
      <c r="H268" s="294">
        <v>472250</v>
      </c>
      <c r="I268" s="101">
        <v>472250</v>
      </c>
      <c r="J268" s="101">
        <f t="shared" si="8"/>
        <v>0</v>
      </c>
      <c r="K268" s="100" t="s">
        <v>203</v>
      </c>
      <c r="L268" s="98"/>
      <c r="M268" s="344" t="str">
        <f>IF(AND(J268=0,K268=Nguyen_nhan!$B$3),"Đúng",IF(AND(J268&lt;&gt;0,K268=Nguyen_nhan!$B$3),"Sai",""))</f>
        <v>Đúng</v>
      </c>
    </row>
    <row r="269" spans="1:13" s="64" customFormat="1" ht="34.5" customHeight="1">
      <c r="A269" s="228">
        <v>12</v>
      </c>
      <c r="B269" s="229">
        <v>17</v>
      </c>
      <c r="C269" s="268">
        <v>44809</v>
      </c>
      <c r="D269" s="288">
        <v>31</v>
      </c>
      <c r="E269" s="268">
        <v>44847</v>
      </c>
      <c r="F269" s="96" t="s">
        <v>43</v>
      </c>
      <c r="G269" s="244" t="s">
        <v>787</v>
      </c>
      <c r="H269" s="293">
        <v>263763</v>
      </c>
      <c r="I269" s="101">
        <v>263763</v>
      </c>
      <c r="J269" s="101">
        <f t="shared" si="8"/>
        <v>0</v>
      </c>
      <c r="K269" s="100" t="s">
        <v>204</v>
      </c>
      <c r="L269" s="98"/>
      <c r="M269" s="344">
        <f>IF(AND(J269=0,K269=Nguyen_nhan!$B$3),"Đúng",IF(AND(J269&lt;&gt;0,K269=Nguyen_nhan!$B$3),"Sai",""))</f>
      </c>
    </row>
    <row r="270" spans="1:13" s="127" customFormat="1" ht="34.5" customHeight="1">
      <c r="A270" s="181" t="s">
        <v>334</v>
      </c>
      <c r="B270" s="356" t="s">
        <v>335</v>
      </c>
      <c r="C270" s="357"/>
      <c r="D270" s="191"/>
      <c r="E270" s="192"/>
      <c r="F270" s="193"/>
      <c r="G270" s="194"/>
      <c r="H270" s="187"/>
      <c r="I270" s="187"/>
      <c r="J270" s="187"/>
      <c r="K270" s="195"/>
      <c r="L270" s="196"/>
      <c r="M270" s="344">
        <f>IF(AND(J270=0,K270=Nguyen_nhan!$B$3),"Đúng",IF(AND(J270&lt;&gt;0,K270=Nguyen_nhan!$B$3),"Sai",""))</f>
      </c>
    </row>
    <row r="271" spans="1:13" s="64" customFormat="1" ht="34.5" customHeight="1">
      <c r="A271" s="228">
        <v>1</v>
      </c>
      <c r="B271" s="320" t="s">
        <v>351</v>
      </c>
      <c r="C271" s="107">
        <v>43181</v>
      </c>
      <c r="D271" s="108">
        <v>95</v>
      </c>
      <c r="E271" s="107">
        <v>43283</v>
      </c>
      <c r="F271" s="96" t="s">
        <v>55</v>
      </c>
      <c r="G271" s="94" t="s">
        <v>362</v>
      </c>
      <c r="H271" s="230">
        <v>44391</v>
      </c>
      <c r="I271" s="230">
        <v>0</v>
      </c>
      <c r="J271" s="101">
        <f aca="true" t="shared" si="9" ref="J271:J284">H271-I271</f>
        <v>44391</v>
      </c>
      <c r="K271" s="100" t="s">
        <v>196</v>
      </c>
      <c r="L271" s="98"/>
      <c r="M271" s="344">
        <f>IF(AND(J271=0,K271=Nguyen_nhan!$B$3),"Đúng",IF(AND(J271&lt;&gt;0,K271=Nguyen_nhan!$B$3),"Sai",""))</f>
      </c>
    </row>
    <row r="272" spans="1:13" s="64" customFormat="1" ht="34.5" customHeight="1">
      <c r="A272" s="228">
        <v>2</v>
      </c>
      <c r="B272" s="320" t="s">
        <v>351</v>
      </c>
      <c r="C272" s="107">
        <v>43238</v>
      </c>
      <c r="D272" s="252" t="s">
        <v>363</v>
      </c>
      <c r="E272" s="107">
        <v>43396</v>
      </c>
      <c r="F272" s="96" t="s">
        <v>50</v>
      </c>
      <c r="G272" s="94" t="s">
        <v>364</v>
      </c>
      <c r="H272" s="230">
        <v>351069</v>
      </c>
      <c r="I272" s="230">
        <v>0</v>
      </c>
      <c r="J272" s="101">
        <f t="shared" si="9"/>
        <v>351069</v>
      </c>
      <c r="K272" s="100" t="s">
        <v>316</v>
      </c>
      <c r="L272" s="98"/>
      <c r="M272" s="344">
        <f>IF(AND(J272=0,K272=Nguyen_nhan!$B$3),"Đúng",IF(AND(J272&lt;&gt;0,K272=Nguyen_nhan!$B$3),"Sai",""))</f>
      </c>
    </row>
    <row r="273" spans="1:13" s="64" customFormat="1" ht="34.5" customHeight="1">
      <c r="A273" s="228">
        <v>3</v>
      </c>
      <c r="B273" s="320" t="s">
        <v>348</v>
      </c>
      <c r="C273" s="107">
        <v>43410</v>
      </c>
      <c r="D273" s="252" t="s">
        <v>355</v>
      </c>
      <c r="E273" s="107">
        <v>43745</v>
      </c>
      <c r="F273" s="96" t="s">
        <v>50</v>
      </c>
      <c r="G273" s="108" t="s">
        <v>365</v>
      </c>
      <c r="H273" s="326">
        <v>112535</v>
      </c>
      <c r="I273" s="230">
        <v>0</v>
      </c>
      <c r="J273" s="101">
        <f t="shared" si="9"/>
        <v>112535</v>
      </c>
      <c r="K273" s="100" t="s">
        <v>316</v>
      </c>
      <c r="L273" s="98"/>
      <c r="M273" s="344">
        <f>IF(AND(J273=0,K273=Nguyen_nhan!$B$3),"Đúng",IF(AND(J273&lt;&gt;0,K273=Nguyen_nhan!$B$3),"Sai",""))</f>
      </c>
    </row>
    <row r="274" spans="1:13" s="64" customFormat="1" ht="34.5" customHeight="1">
      <c r="A274" s="228">
        <v>4</v>
      </c>
      <c r="B274" s="320" t="s">
        <v>350</v>
      </c>
      <c r="C274" s="107">
        <v>43647</v>
      </c>
      <c r="D274" s="252" t="s">
        <v>363</v>
      </c>
      <c r="E274" s="107">
        <v>43745</v>
      </c>
      <c r="F274" s="96" t="s">
        <v>50</v>
      </c>
      <c r="G274" s="108" t="s">
        <v>366</v>
      </c>
      <c r="H274" s="326">
        <v>938035</v>
      </c>
      <c r="I274" s="230">
        <v>0</v>
      </c>
      <c r="J274" s="101">
        <f t="shared" si="9"/>
        <v>938035</v>
      </c>
      <c r="K274" s="100" t="s">
        <v>316</v>
      </c>
      <c r="L274" s="98"/>
      <c r="M274" s="344">
        <f>IF(AND(J274=0,K274=Nguyen_nhan!$B$3),"Đúng",IF(AND(J274&lt;&gt;0,K274=Nguyen_nhan!$B$3),"Sai",""))</f>
      </c>
    </row>
    <row r="275" spans="1:13" s="64" customFormat="1" ht="34.5" customHeight="1">
      <c r="A275" s="228">
        <v>5</v>
      </c>
      <c r="B275" s="320" t="s">
        <v>351</v>
      </c>
      <c r="C275" s="107">
        <v>43654</v>
      </c>
      <c r="D275" s="108">
        <v>22</v>
      </c>
      <c r="E275" s="107">
        <v>43761</v>
      </c>
      <c r="F275" s="96" t="s">
        <v>50</v>
      </c>
      <c r="G275" s="108" t="s">
        <v>367</v>
      </c>
      <c r="H275" s="326">
        <v>915537</v>
      </c>
      <c r="I275" s="230">
        <v>0</v>
      </c>
      <c r="J275" s="101">
        <f t="shared" si="9"/>
        <v>915537</v>
      </c>
      <c r="K275" s="100" t="s">
        <v>316</v>
      </c>
      <c r="L275" s="98"/>
      <c r="M275" s="344">
        <f>IF(AND(J275=0,K275=Nguyen_nhan!$B$3),"Đúng",IF(AND(J275&lt;&gt;0,K275=Nguyen_nhan!$B$3),"Sai",""))</f>
      </c>
    </row>
    <row r="276" spans="1:13" s="64" customFormat="1" ht="34.5" customHeight="1">
      <c r="A276" s="228">
        <v>6</v>
      </c>
      <c r="B276" s="320" t="s">
        <v>348</v>
      </c>
      <c r="C276" s="107">
        <v>43777</v>
      </c>
      <c r="D276" s="256">
        <v>149</v>
      </c>
      <c r="E276" s="257">
        <v>43917</v>
      </c>
      <c r="F276" s="96" t="s">
        <v>27</v>
      </c>
      <c r="G276" s="108" t="s">
        <v>676</v>
      </c>
      <c r="H276" s="326">
        <v>8946</v>
      </c>
      <c r="I276" s="230">
        <v>0</v>
      </c>
      <c r="J276" s="101">
        <f t="shared" si="9"/>
        <v>8946</v>
      </c>
      <c r="K276" s="100" t="s">
        <v>316</v>
      </c>
      <c r="L276" s="98"/>
      <c r="M276" s="344">
        <f>IF(AND(J276=0,K276=Nguyen_nhan!$B$3),"Đúng",IF(AND(J276&lt;&gt;0,K276=Nguyen_nhan!$B$3),"Sai",""))</f>
      </c>
    </row>
    <row r="277" spans="1:13" s="64" customFormat="1" ht="34.5" customHeight="1">
      <c r="A277" s="228">
        <v>7</v>
      </c>
      <c r="B277" s="320" t="s">
        <v>350</v>
      </c>
      <c r="C277" s="107">
        <v>43616</v>
      </c>
      <c r="D277" s="108">
        <v>31</v>
      </c>
      <c r="E277" s="107">
        <v>43773</v>
      </c>
      <c r="F277" s="96" t="s">
        <v>209</v>
      </c>
      <c r="G277" s="108" t="s">
        <v>368</v>
      </c>
      <c r="H277" s="326">
        <v>20837</v>
      </c>
      <c r="I277" s="230">
        <v>0</v>
      </c>
      <c r="J277" s="101">
        <f t="shared" si="9"/>
        <v>20837</v>
      </c>
      <c r="K277" s="100" t="s">
        <v>316</v>
      </c>
      <c r="L277" s="98"/>
      <c r="M277" s="344">
        <f>IF(AND(J277=0,K277=Nguyen_nhan!$B$3),"Đúng",IF(AND(J277&lt;&gt;0,K277=Nguyen_nhan!$B$3),"Sai",""))</f>
      </c>
    </row>
    <row r="278" spans="1:13" s="64" customFormat="1" ht="34.5" customHeight="1">
      <c r="A278" s="228">
        <v>8</v>
      </c>
      <c r="B278" s="320" t="s">
        <v>351</v>
      </c>
      <c r="C278" s="107">
        <v>43546</v>
      </c>
      <c r="D278" s="108">
        <v>147</v>
      </c>
      <c r="E278" s="107">
        <v>43917</v>
      </c>
      <c r="F278" s="96" t="s">
        <v>27</v>
      </c>
      <c r="G278" s="108" t="s">
        <v>369</v>
      </c>
      <c r="H278" s="326">
        <v>104827</v>
      </c>
      <c r="I278" s="230">
        <v>0</v>
      </c>
      <c r="J278" s="101">
        <f t="shared" si="9"/>
        <v>104827</v>
      </c>
      <c r="K278" s="100" t="s">
        <v>316</v>
      </c>
      <c r="L278" s="98"/>
      <c r="M278" s="344">
        <f>IF(AND(J278=0,K278=Nguyen_nhan!$B$3),"Đúng",IF(AND(J278&lt;&gt;0,K278=Nguyen_nhan!$B$3),"Sai",""))</f>
      </c>
    </row>
    <row r="279" spans="1:13" s="64" customFormat="1" ht="34.5" customHeight="1">
      <c r="A279" s="228">
        <v>9</v>
      </c>
      <c r="B279" s="320" t="s">
        <v>355</v>
      </c>
      <c r="C279" s="107">
        <v>43749</v>
      </c>
      <c r="D279" s="108">
        <v>142</v>
      </c>
      <c r="E279" s="107">
        <v>43913</v>
      </c>
      <c r="F279" s="96" t="s">
        <v>50</v>
      </c>
      <c r="G279" s="108" t="s">
        <v>371</v>
      </c>
      <c r="H279" s="326">
        <v>391832</v>
      </c>
      <c r="I279" s="230">
        <v>0</v>
      </c>
      <c r="J279" s="101">
        <f t="shared" si="9"/>
        <v>391832</v>
      </c>
      <c r="K279" s="100" t="s">
        <v>316</v>
      </c>
      <c r="L279" s="98"/>
      <c r="M279" s="344">
        <f>IF(AND(J279=0,K279=Nguyen_nhan!$B$3),"Đúng",IF(AND(J279&lt;&gt;0,K279=Nguyen_nhan!$B$3),"Sai",""))</f>
      </c>
    </row>
    <row r="280" spans="1:13" s="64" customFormat="1" ht="34.5" customHeight="1">
      <c r="A280" s="228">
        <v>10</v>
      </c>
      <c r="B280" s="320" t="s">
        <v>370</v>
      </c>
      <c r="C280" s="107">
        <v>43798</v>
      </c>
      <c r="D280" s="108">
        <v>143</v>
      </c>
      <c r="E280" s="107">
        <v>43913</v>
      </c>
      <c r="F280" s="96" t="s">
        <v>50</v>
      </c>
      <c r="G280" s="108" t="s">
        <v>372</v>
      </c>
      <c r="H280" s="326">
        <v>468690</v>
      </c>
      <c r="I280" s="230">
        <v>0</v>
      </c>
      <c r="J280" s="101">
        <f t="shared" si="9"/>
        <v>468690</v>
      </c>
      <c r="K280" s="100" t="s">
        <v>316</v>
      </c>
      <c r="L280" s="98"/>
      <c r="M280" s="344">
        <f>IF(AND(J280=0,K280=Nguyen_nhan!$B$3),"Đúng",IF(AND(J280&lt;&gt;0,K280=Nguyen_nhan!$B$3),"Sai",""))</f>
      </c>
    </row>
    <row r="281" spans="1:13" s="64" customFormat="1" ht="34.5" customHeight="1">
      <c r="A281" s="228">
        <v>11</v>
      </c>
      <c r="B281" s="320" t="s">
        <v>349</v>
      </c>
      <c r="C281" s="107">
        <v>43182</v>
      </c>
      <c r="D281" s="108">
        <v>207</v>
      </c>
      <c r="E281" s="107">
        <v>44036</v>
      </c>
      <c r="F281" s="96" t="s">
        <v>209</v>
      </c>
      <c r="G281" s="108" t="s">
        <v>362</v>
      </c>
      <c r="H281" s="326">
        <v>83619</v>
      </c>
      <c r="I281" s="230">
        <v>0</v>
      </c>
      <c r="J281" s="101">
        <f t="shared" si="9"/>
        <v>83619</v>
      </c>
      <c r="K281" s="100" t="s">
        <v>196</v>
      </c>
      <c r="L281" s="98"/>
      <c r="M281" s="344">
        <f>IF(AND(J281=0,K281=Nguyen_nhan!$B$3),"Đúng",IF(AND(J281&lt;&gt;0,K281=Nguyen_nhan!$B$3),"Sai",""))</f>
      </c>
    </row>
    <row r="282" spans="1:13" s="64" customFormat="1" ht="34.5" customHeight="1">
      <c r="A282" s="228">
        <v>12</v>
      </c>
      <c r="B282" s="158">
        <v>15</v>
      </c>
      <c r="C282" s="107">
        <v>43790</v>
      </c>
      <c r="D282" s="108">
        <v>22</v>
      </c>
      <c r="E282" s="107">
        <v>44112</v>
      </c>
      <c r="F282" s="96" t="s">
        <v>209</v>
      </c>
      <c r="G282" s="108" t="s">
        <v>374</v>
      </c>
      <c r="H282" s="326">
        <v>150888</v>
      </c>
      <c r="I282" s="230">
        <v>150888</v>
      </c>
      <c r="J282" s="101">
        <f t="shared" si="9"/>
        <v>0</v>
      </c>
      <c r="K282" s="100" t="s">
        <v>203</v>
      </c>
      <c r="L282" s="98"/>
      <c r="M282" s="344" t="str">
        <f>IF(AND(J282=0,K282=Nguyen_nhan!$B$3),"Đúng",IF(AND(J282&lt;&gt;0,K282=Nguyen_nhan!$B$3),"Sai",""))</f>
        <v>Đúng</v>
      </c>
    </row>
    <row r="283" spans="1:13" s="64" customFormat="1" ht="34.5" customHeight="1">
      <c r="A283" s="228">
        <v>13</v>
      </c>
      <c r="B283" s="320" t="s">
        <v>348</v>
      </c>
      <c r="C283" s="107">
        <v>43924</v>
      </c>
      <c r="D283" s="108">
        <v>23</v>
      </c>
      <c r="E283" s="107">
        <v>44112</v>
      </c>
      <c r="F283" s="96" t="s">
        <v>50</v>
      </c>
      <c r="G283" s="108" t="s">
        <v>375</v>
      </c>
      <c r="H283" s="326">
        <v>31742</v>
      </c>
      <c r="I283" s="230">
        <v>0</v>
      </c>
      <c r="J283" s="101">
        <f t="shared" si="9"/>
        <v>31742</v>
      </c>
      <c r="K283" s="100" t="s">
        <v>316</v>
      </c>
      <c r="L283" s="98"/>
      <c r="M283" s="344">
        <f>IF(AND(J283=0,K283=Nguyen_nhan!$B$3),"Đúng",IF(AND(J283&lt;&gt;0,K283=Nguyen_nhan!$B$3),"Sai",""))</f>
      </c>
    </row>
    <row r="284" spans="1:13" s="64" customFormat="1" ht="34.5" customHeight="1">
      <c r="A284" s="228">
        <v>14</v>
      </c>
      <c r="B284" s="320" t="s">
        <v>349</v>
      </c>
      <c r="C284" s="107">
        <v>44091</v>
      </c>
      <c r="D284" s="108">
        <v>51</v>
      </c>
      <c r="E284" s="107">
        <v>44153</v>
      </c>
      <c r="F284" s="96" t="s">
        <v>209</v>
      </c>
      <c r="G284" s="108" t="s">
        <v>376</v>
      </c>
      <c r="H284" s="326">
        <v>4359</v>
      </c>
      <c r="I284" s="230">
        <v>0</v>
      </c>
      <c r="J284" s="101">
        <f t="shared" si="9"/>
        <v>4359</v>
      </c>
      <c r="K284" s="100" t="s">
        <v>316</v>
      </c>
      <c r="L284" s="98"/>
      <c r="M284" s="344">
        <f>IF(AND(J284=0,K284=Nguyen_nhan!$B$3),"Đúng",IF(AND(J284&lt;&gt;0,K284=Nguyen_nhan!$B$3),"Sai",""))</f>
      </c>
    </row>
    <row r="285" spans="1:13" s="64" customFormat="1" ht="34.5" customHeight="1">
      <c r="A285" s="228">
        <v>15</v>
      </c>
      <c r="B285" s="320" t="s">
        <v>349</v>
      </c>
      <c r="C285" s="107">
        <v>44014</v>
      </c>
      <c r="D285" s="108">
        <v>58</v>
      </c>
      <c r="E285" s="107">
        <v>44179</v>
      </c>
      <c r="F285" s="96" t="s">
        <v>50</v>
      </c>
      <c r="G285" s="108" t="s">
        <v>377</v>
      </c>
      <c r="H285" s="326">
        <v>1021081</v>
      </c>
      <c r="I285" s="230">
        <v>0</v>
      </c>
      <c r="J285" s="101">
        <f>H285-I285</f>
        <v>1021081</v>
      </c>
      <c r="K285" s="100" t="s">
        <v>316</v>
      </c>
      <c r="L285" s="98"/>
      <c r="M285" s="344">
        <f>IF(AND(J285=0,K285=Nguyen_nhan!$B$3),"Đúng",IF(AND(J285&lt;&gt;0,K285=Nguyen_nhan!$B$3),"Sai",""))</f>
      </c>
    </row>
    <row r="286" spans="1:13" s="64" customFormat="1" ht="34.5" customHeight="1">
      <c r="A286" s="228">
        <v>16</v>
      </c>
      <c r="B286" s="158">
        <v>22</v>
      </c>
      <c r="C286" s="107">
        <v>44056</v>
      </c>
      <c r="D286" s="108">
        <v>60</v>
      </c>
      <c r="E286" s="107">
        <v>44179</v>
      </c>
      <c r="F286" s="96" t="s">
        <v>50</v>
      </c>
      <c r="G286" s="108" t="s">
        <v>378</v>
      </c>
      <c r="H286" s="326">
        <v>704220</v>
      </c>
      <c r="I286" s="230">
        <v>0</v>
      </c>
      <c r="J286" s="101">
        <f aca="true" t="shared" si="10" ref="J286:J308">H286-I286</f>
        <v>704220</v>
      </c>
      <c r="K286" s="100" t="s">
        <v>316</v>
      </c>
      <c r="L286" s="98"/>
      <c r="M286" s="344">
        <f>IF(AND(J286=0,K286=Nguyen_nhan!$B$3),"Đúng",IF(AND(J286&lt;&gt;0,K286=Nguyen_nhan!$B$3),"Sai",""))</f>
      </c>
    </row>
    <row r="287" spans="1:13" s="64" customFormat="1" ht="34.5" customHeight="1">
      <c r="A287" s="228">
        <v>17</v>
      </c>
      <c r="B287" s="158">
        <v>14</v>
      </c>
      <c r="C287" s="107">
        <v>44026</v>
      </c>
      <c r="D287" s="108">
        <v>61</v>
      </c>
      <c r="E287" s="107">
        <v>44186</v>
      </c>
      <c r="F287" s="96" t="s">
        <v>50</v>
      </c>
      <c r="G287" s="108" t="s">
        <v>379</v>
      </c>
      <c r="H287" s="326">
        <v>16416</v>
      </c>
      <c r="I287" s="230">
        <v>0</v>
      </c>
      <c r="J287" s="101">
        <f t="shared" si="10"/>
        <v>16416</v>
      </c>
      <c r="K287" s="100" t="s">
        <v>316</v>
      </c>
      <c r="L287" s="98"/>
      <c r="M287" s="344">
        <f>IF(AND(J287=0,K287=Nguyen_nhan!$B$3),"Đúng",IF(AND(J287&lt;&gt;0,K287=Nguyen_nhan!$B$3),"Sai",""))</f>
      </c>
    </row>
    <row r="288" spans="1:13" s="64" customFormat="1" ht="34.5" customHeight="1">
      <c r="A288" s="228">
        <v>18</v>
      </c>
      <c r="B288" s="158">
        <v>20</v>
      </c>
      <c r="C288" s="107">
        <v>44043</v>
      </c>
      <c r="D288" s="321">
        <v>133</v>
      </c>
      <c r="E288" s="322">
        <v>44299</v>
      </c>
      <c r="F288" s="96" t="s">
        <v>209</v>
      </c>
      <c r="G288" s="321" t="s">
        <v>599</v>
      </c>
      <c r="H288" s="327">
        <v>65563</v>
      </c>
      <c r="I288" s="230">
        <v>0</v>
      </c>
      <c r="J288" s="101">
        <f t="shared" si="10"/>
        <v>65563</v>
      </c>
      <c r="K288" s="100" t="s">
        <v>316</v>
      </c>
      <c r="L288" s="98"/>
      <c r="M288" s="344">
        <f>IF(AND(J288=0,K288=Nguyen_nhan!$B$3),"Đúng",IF(AND(J288&lt;&gt;0,K288=Nguyen_nhan!$B$3),"Sai",""))</f>
      </c>
    </row>
    <row r="289" spans="1:13" s="64" customFormat="1" ht="34.5" customHeight="1">
      <c r="A289" s="228">
        <v>19</v>
      </c>
      <c r="B289" s="158">
        <v>5</v>
      </c>
      <c r="C289" s="107">
        <v>44285</v>
      </c>
      <c r="D289" s="321">
        <v>181</v>
      </c>
      <c r="E289" s="323">
        <v>44340</v>
      </c>
      <c r="F289" s="96" t="s">
        <v>209</v>
      </c>
      <c r="G289" s="321" t="s">
        <v>600</v>
      </c>
      <c r="H289" s="328">
        <v>128098</v>
      </c>
      <c r="I289" s="230">
        <v>0</v>
      </c>
      <c r="J289" s="101">
        <f t="shared" si="10"/>
        <v>128098</v>
      </c>
      <c r="K289" s="100" t="s">
        <v>316</v>
      </c>
      <c r="L289" s="98"/>
      <c r="M289" s="344">
        <f>IF(AND(J289=0,K289=Nguyen_nhan!$B$3),"Đúng",IF(AND(J289&lt;&gt;0,K289=Nguyen_nhan!$B$3),"Sai",""))</f>
      </c>
    </row>
    <row r="290" spans="1:13" s="64" customFormat="1" ht="34.5" customHeight="1">
      <c r="A290" s="228">
        <v>20</v>
      </c>
      <c r="B290" s="158">
        <v>4</v>
      </c>
      <c r="C290" s="107">
        <v>44284</v>
      </c>
      <c r="D290" s="321">
        <v>164</v>
      </c>
      <c r="E290" s="323">
        <v>44333</v>
      </c>
      <c r="F290" s="96" t="s">
        <v>209</v>
      </c>
      <c r="G290" s="321" t="s">
        <v>601</v>
      </c>
      <c r="H290" s="328">
        <v>55599</v>
      </c>
      <c r="I290" s="230">
        <v>0</v>
      </c>
      <c r="J290" s="101">
        <f t="shared" si="10"/>
        <v>55599</v>
      </c>
      <c r="K290" s="100" t="s">
        <v>316</v>
      </c>
      <c r="L290" s="98"/>
      <c r="M290" s="344">
        <f>IF(AND(J290=0,K290=Nguyen_nhan!$B$3),"Đúng",IF(AND(J290&lt;&gt;0,K290=Nguyen_nhan!$B$3),"Sai",""))</f>
      </c>
    </row>
    <row r="291" spans="1:13" s="64" customFormat="1" ht="34.5" customHeight="1">
      <c r="A291" s="228">
        <v>21</v>
      </c>
      <c r="B291" s="320" t="s">
        <v>363</v>
      </c>
      <c r="C291" s="107">
        <v>44431</v>
      </c>
      <c r="D291" s="321">
        <v>38</v>
      </c>
      <c r="E291" s="323">
        <v>44508</v>
      </c>
      <c r="F291" s="96" t="s">
        <v>50</v>
      </c>
      <c r="G291" s="321" t="s">
        <v>677</v>
      </c>
      <c r="H291" s="328">
        <v>2805234</v>
      </c>
      <c r="I291" s="230">
        <f>562880+300000+328151</f>
        <v>1191031</v>
      </c>
      <c r="J291" s="101">
        <f t="shared" si="10"/>
        <v>1614203</v>
      </c>
      <c r="K291" s="100" t="s">
        <v>316</v>
      </c>
      <c r="L291" s="98"/>
      <c r="M291" s="344">
        <f>IF(AND(J291=0,K291=Nguyen_nhan!$B$3),"Đúng",IF(AND(J291&lt;&gt;0,K291=Nguyen_nhan!$B$3),"Sai",""))</f>
      </c>
    </row>
    <row r="292" spans="1:13" s="64" customFormat="1" ht="34.5" customHeight="1">
      <c r="A292" s="228">
        <v>22</v>
      </c>
      <c r="B292" s="158">
        <v>71</v>
      </c>
      <c r="C292" s="107">
        <v>44166</v>
      </c>
      <c r="D292" s="321">
        <v>39</v>
      </c>
      <c r="E292" s="323">
        <v>44509</v>
      </c>
      <c r="F292" s="96" t="s">
        <v>53</v>
      </c>
      <c r="G292" s="321" t="s">
        <v>678</v>
      </c>
      <c r="H292" s="328">
        <v>122818</v>
      </c>
      <c r="I292" s="230">
        <v>0</v>
      </c>
      <c r="J292" s="101">
        <f t="shared" si="10"/>
        <v>122818</v>
      </c>
      <c r="K292" s="100" t="s">
        <v>316</v>
      </c>
      <c r="L292" s="98"/>
      <c r="M292" s="344">
        <f>IF(AND(J292=0,K292=Nguyen_nhan!$B$3),"Đúng",IF(AND(J292&lt;&gt;0,K292=Nguyen_nhan!$B$3),"Sai",""))</f>
      </c>
    </row>
    <row r="293" spans="1:13" s="64" customFormat="1" ht="34.5" customHeight="1">
      <c r="A293" s="228">
        <v>23</v>
      </c>
      <c r="B293" s="320" t="s">
        <v>349</v>
      </c>
      <c r="C293" s="107">
        <v>44515</v>
      </c>
      <c r="D293" s="108">
        <v>154</v>
      </c>
      <c r="E293" s="107">
        <v>44768</v>
      </c>
      <c r="F293" s="96" t="s">
        <v>209</v>
      </c>
      <c r="G293" s="108" t="s">
        <v>712</v>
      </c>
      <c r="H293" s="326">
        <v>63000</v>
      </c>
      <c r="I293" s="230">
        <v>0</v>
      </c>
      <c r="J293" s="101">
        <f t="shared" si="10"/>
        <v>63000</v>
      </c>
      <c r="K293" s="100" t="s">
        <v>196</v>
      </c>
      <c r="L293" s="98"/>
      <c r="M293" s="344">
        <f>IF(AND(J293=0,K293=Nguyen_nhan!$B$3),"Đúng",IF(AND(J293&lt;&gt;0,K293=Nguyen_nhan!$B$3),"Sai",""))</f>
      </c>
    </row>
    <row r="294" spans="1:13" s="64" customFormat="1" ht="34.5" customHeight="1">
      <c r="A294" s="228">
        <v>24</v>
      </c>
      <c r="B294" s="320" t="s">
        <v>349</v>
      </c>
      <c r="C294" s="107">
        <v>44740</v>
      </c>
      <c r="D294" s="108">
        <v>164</v>
      </c>
      <c r="E294" s="107">
        <v>44791</v>
      </c>
      <c r="F294" s="96" t="s">
        <v>50</v>
      </c>
      <c r="G294" s="108" t="s">
        <v>713</v>
      </c>
      <c r="H294" s="326">
        <v>219067</v>
      </c>
      <c r="I294" s="230">
        <v>0</v>
      </c>
      <c r="J294" s="101">
        <f t="shared" si="10"/>
        <v>219067</v>
      </c>
      <c r="K294" s="100" t="s">
        <v>316</v>
      </c>
      <c r="L294" s="98"/>
      <c r="M294" s="344">
        <f>IF(AND(J294=0,K294=Nguyen_nhan!$B$3),"Đúng",IF(AND(J294&lt;&gt;0,K294=Nguyen_nhan!$B$3),"Sai",""))</f>
      </c>
    </row>
    <row r="295" spans="1:13" s="64" customFormat="1" ht="34.5" customHeight="1">
      <c r="A295" s="228">
        <v>25</v>
      </c>
      <c r="B295" s="320" t="s">
        <v>370</v>
      </c>
      <c r="C295" s="107">
        <v>43409</v>
      </c>
      <c r="D295" s="108">
        <v>33</v>
      </c>
      <c r="E295" s="107">
        <v>44852</v>
      </c>
      <c r="F295" s="96" t="s">
        <v>43</v>
      </c>
      <c r="G295" s="108" t="s">
        <v>602</v>
      </c>
      <c r="H295" s="326">
        <v>4800</v>
      </c>
      <c r="I295" s="230">
        <v>4800</v>
      </c>
      <c r="J295" s="101">
        <f t="shared" si="10"/>
        <v>0</v>
      </c>
      <c r="K295" s="100" t="s">
        <v>203</v>
      </c>
      <c r="L295" s="98"/>
      <c r="M295" s="344" t="str">
        <f>IF(AND(J295=0,K295=Nguyen_nhan!$B$3),"Đúng",IF(AND(J295&lt;&gt;0,K295=Nguyen_nhan!$B$3),"Sai",""))</f>
        <v>Đúng</v>
      </c>
    </row>
    <row r="296" spans="1:13" s="64" customFormat="1" ht="34.5" customHeight="1">
      <c r="A296" s="228">
        <v>26</v>
      </c>
      <c r="B296" s="320" t="s">
        <v>370</v>
      </c>
      <c r="C296" s="107">
        <v>43409</v>
      </c>
      <c r="D296" s="108">
        <v>72</v>
      </c>
      <c r="E296" s="107">
        <v>44893</v>
      </c>
      <c r="F296" s="232" t="s">
        <v>43</v>
      </c>
      <c r="G296" s="108" t="s">
        <v>602</v>
      </c>
      <c r="H296" s="326">
        <v>4800</v>
      </c>
      <c r="I296" s="230">
        <v>4800</v>
      </c>
      <c r="J296" s="101">
        <f t="shared" si="10"/>
        <v>0</v>
      </c>
      <c r="K296" s="108" t="s">
        <v>203</v>
      </c>
      <c r="L296" s="98"/>
      <c r="M296" s="344" t="str">
        <f>IF(AND(J296=0,K296=Nguyen_nhan!$B$3),"Đúng",IF(AND(J296&lt;&gt;0,K296=Nguyen_nhan!$B$3),"Sai",""))</f>
        <v>Đúng</v>
      </c>
    </row>
    <row r="297" spans="1:13" s="64" customFormat="1" ht="34.5" customHeight="1">
      <c r="A297" s="228">
        <v>27</v>
      </c>
      <c r="B297" s="158">
        <v>12</v>
      </c>
      <c r="C297" s="107">
        <v>44015</v>
      </c>
      <c r="D297" s="108">
        <v>82</v>
      </c>
      <c r="E297" s="107">
        <v>44929</v>
      </c>
      <c r="F297" s="232" t="s">
        <v>209</v>
      </c>
      <c r="G297" s="108" t="s">
        <v>792</v>
      </c>
      <c r="H297" s="326">
        <f>(403863698+3500000)/1000</f>
        <v>407363.698</v>
      </c>
      <c r="I297" s="230">
        <v>0</v>
      </c>
      <c r="J297" s="101">
        <f t="shared" si="10"/>
        <v>407363.698</v>
      </c>
      <c r="K297" s="100" t="s">
        <v>316</v>
      </c>
      <c r="L297" s="98"/>
      <c r="M297" s="344">
        <f>IF(AND(J297=0,K297=Nguyen_nhan!$B$3),"Đúng",IF(AND(J297&lt;&gt;0,K297=Nguyen_nhan!$B$3),"Sai",""))</f>
      </c>
    </row>
    <row r="298" spans="1:13" s="64" customFormat="1" ht="34.5" customHeight="1">
      <c r="A298" s="228">
        <v>28</v>
      </c>
      <c r="B298" s="320" t="s">
        <v>370</v>
      </c>
      <c r="C298" s="107">
        <v>43409</v>
      </c>
      <c r="D298" s="108">
        <v>93</v>
      </c>
      <c r="E298" s="107">
        <v>44960</v>
      </c>
      <c r="F298" s="232" t="s">
        <v>43</v>
      </c>
      <c r="G298" s="108" t="s">
        <v>602</v>
      </c>
      <c r="H298" s="326">
        <v>4800</v>
      </c>
      <c r="I298" s="230">
        <v>4800</v>
      </c>
      <c r="J298" s="101">
        <f t="shared" si="10"/>
        <v>0</v>
      </c>
      <c r="K298" s="100" t="s">
        <v>203</v>
      </c>
      <c r="L298" s="98"/>
      <c r="M298" s="344" t="str">
        <f>IF(AND(J298=0,K298=Nguyen_nhan!$B$3),"Đúng",IF(AND(J298&lt;&gt;0,K298=Nguyen_nhan!$B$3),"Sai",""))</f>
        <v>Đúng</v>
      </c>
    </row>
    <row r="299" spans="1:13" s="64" customFormat="1" ht="34.5" customHeight="1">
      <c r="A299" s="228">
        <v>29</v>
      </c>
      <c r="B299" s="320" t="s">
        <v>370</v>
      </c>
      <c r="C299" s="107">
        <v>43409</v>
      </c>
      <c r="D299" s="108">
        <v>121</v>
      </c>
      <c r="E299" s="107">
        <v>45002</v>
      </c>
      <c r="F299" s="232" t="s">
        <v>43</v>
      </c>
      <c r="G299" s="108" t="s">
        <v>602</v>
      </c>
      <c r="H299" s="326">
        <v>4800</v>
      </c>
      <c r="I299" s="230">
        <v>4800</v>
      </c>
      <c r="J299" s="101">
        <f t="shared" si="10"/>
        <v>0</v>
      </c>
      <c r="K299" s="100" t="s">
        <v>203</v>
      </c>
      <c r="L299" s="98"/>
      <c r="M299" s="344" t="str">
        <f>IF(AND(J299=0,K299=Nguyen_nhan!$B$3),"Đúng",IF(AND(J299&lt;&gt;0,K299=Nguyen_nhan!$B$3),"Sai",""))</f>
        <v>Đúng</v>
      </c>
    </row>
    <row r="300" spans="1:13" s="64" customFormat="1" ht="34.5" customHeight="1">
      <c r="A300" s="228">
        <v>30</v>
      </c>
      <c r="B300" s="320" t="s">
        <v>349</v>
      </c>
      <c r="C300" s="107">
        <v>44278</v>
      </c>
      <c r="D300" s="321">
        <v>125</v>
      </c>
      <c r="E300" s="323">
        <v>45019</v>
      </c>
      <c r="F300" s="96" t="s">
        <v>209</v>
      </c>
      <c r="G300" s="108" t="s">
        <v>816</v>
      </c>
      <c r="H300" s="326">
        <f>243386+63167</f>
        <v>306553</v>
      </c>
      <c r="I300" s="326">
        <v>306553</v>
      </c>
      <c r="J300" s="101">
        <f t="shared" si="10"/>
        <v>0</v>
      </c>
      <c r="K300" s="100" t="s">
        <v>203</v>
      </c>
      <c r="L300" s="98"/>
      <c r="M300" s="344" t="str">
        <f>IF(AND(J300=0,K300=Nguyen_nhan!$B$3),"Đúng",IF(AND(J300&lt;&gt;0,K300=Nguyen_nhan!$B$3),"Sai",""))</f>
        <v>Đúng</v>
      </c>
    </row>
    <row r="301" spans="1:13" s="64" customFormat="1" ht="34.5" customHeight="1">
      <c r="A301" s="228">
        <v>31</v>
      </c>
      <c r="B301" s="320" t="s">
        <v>373</v>
      </c>
      <c r="C301" s="107">
        <v>44433</v>
      </c>
      <c r="D301" s="321">
        <v>144</v>
      </c>
      <c r="E301" s="323">
        <v>45044</v>
      </c>
      <c r="F301" s="96" t="s">
        <v>209</v>
      </c>
      <c r="G301" s="108" t="s">
        <v>817</v>
      </c>
      <c r="H301" s="326">
        <v>63942</v>
      </c>
      <c r="I301" s="326">
        <v>63942</v>
      </c>
      <c r="J301" s="101">
        <f t="shared" si="10"/>
        <v>0</v>
      </c>
      <c r="K301" s="100" t="s">
        <v>203</v>
      </c>
      <c r="L301" s="98"/>
      <c r="M301" s="344" t="str">
        <f>IF(AND(J301=0,K301=Nguyen_nhan!$B$3),"Đúng",IF(AND(J301&lt;&gt;0,K301=Nguyen_nhan!$B$3),"Sai",""))</f>
        <v>Đúng</v>
      </c>
    </row>
    <row r="302" spans="1:13" s="64" customFormat="1" ht="34.5" customHeight="1">
      <c r="A302" s="228">
        <v>32</v>
      </c>
      <c r="B302" s="320" t="s">
        <v>348</v>
      </c>
      <c r="C302" s="107">
        <v>44652</v>
      </c>
      <c r="D302" s="321">
        <v>147</v>
      </c>
      <c r="E302" s="323">
        <v>45051</v>
      </c>
      <c r="F302" s="96" t="s">
        <v>209</v>
      </c>
      <c r="G302" s="108" t="s">
        <v>818</v>
      </c>
      <c r="H302" s="326">
        <v>232290</v>
      </c>
      <c r="I302" s="325">
        <v>0</v>
      </c>
      <c r="J302" s="101">
        <f t="shared" si="10"/>
        <v>232290</v>
      </c>
      <c r="K302" s="100" t="s">
        <v>196</v>
      </c>
      <c r="L302" s="98"/>
      <c r="M302" s="344">
        <f>IF(AND(J302=0,K302=Nguyen_nhan!$B$3),"Đúng",IF(AND(J302&lt;&gt;0,K302=Nguyen_nhan!$B$3),"Sai",""))</f>
      </c>
    </row>
    <row r="303" spans="1:13" s="64" customFormat="1" ht="34.5" customHeight="1">
      <c r="A303" s="228">
        <v>33</v>
      </c>
      <c r="B303" s="320" t="s">
        <v>370</v>
      </c>
      <c r="C303" s="107">
        <v>43409</v>
      </c>
      <c r="D303" s="321">
        <v>168</v>
      </c>
      <c r="E303" s="323">
        <v>45090</v>
      </c>
      <c r="F303" s="96" t="s">
        <v>43</v>
      </c>
      <c r="G303" s="108" t="s">
        <v>602</v>
      </c>
      <c r="H303" s="326">
        <v>4800</v>
      </c>
      <c r="I303" s="325">
        <v>4800</v>
      </c>
      <c r="J303" s="101">
        <f t="shared" si="10"/>
        <v>0</v>
      </c>
      <c r="K303" s="100" t="s">
        <v>196</v>
      </c>
      <c r="L303" s="98"/>
      <c r="M303" s="344">
        <f>IF(AND(J303=0,K303=Nguyen_nhan!$B$3),"Đúng",IF(AND(J303&lt;&gt;0,K303=Nguyen_nhan!$B$3),"Sai",""))</f>
      </c>
    </row>
    <row r="304" spans="1:13" s="64" customFormat="1" ht="34.5" customHeight="1">
      <c r="A304" s="228">
        <v>34</v>
      </c>
      <c r="B304" s="320" t="s">
        <v>351</v>
      </c>
      <c r="C304" s="107">
        <v>44643</v>
      </c>
      <c r="D304" s="321">
        <v>128</v>
      </c>
      <c r="E304" s="323">
        <v>45023</v>
      </c>
      <c r="F304" s="96" t="s">
        <v>209</v>
      </c>
      <c r="G304" s="108" t="s">
        <v>819</v>
      </c>
      <c r="H304" s="326">
        <f>218302+4382</f>
        <v>222684</v>
      </c>
      <c r="I304" s="326">
        <v>222684</v>
      </c>
      <c r="J304" s="101">
        <f t="shared" si="10"/>
        <v>0</v>
      </c>
      <c r="K304" s="108" t="s">
        <v>203</v>
      </c>
      <c r="L304" s="98"/>
      <c r="M304" s="344" t="str">
        <f>IF(AND(J304=0,K304=Nguyen_nhan!$B$3),"Đúng",IF(AND(J304&lt;&gt;0,K304=Nguyen_nhan!$B$3),"Sai",""))</f>
        <v>Đúng</v>
      </c>
    </row>
    <row r="305" spans="1:13" s="64" customFormat="1" ht="34.5" customHeight="1">
      <c r="A305" s="228">
        <v>35</v>
      </c>
      <c r="B305" s="320" t="s">
        <v>349</v>
      </c>
      <c r="C305" s="107">
        <v>44515</v>
      </c>
      <c r="D305" s="321">
        <v>129</v>
      </c>
      <c r="E305" s="323">
        <v>45030</v>
      </c>
      <c r="F305" s="96" t="s">
        <v>209</v>
      </c>
      <c r="G305" s="108" t="s">
        <v>712</v>
      </c>
      <c r="H305" s="326">
        <v>127073</v>
      </c>
      <c r="I305" s="326">
        <v>127073</v>
      </c>
      <c r="J305" s="101">
        <f t="shared" si="10"/>
        <v>0</v>
      </c>
      <c r="K305" s="108" t="s">
        <v>203</v>
      </c>
      <c r="L305" s="98"/>
      <c r="M305" s="344" t="str">
        <f>IF(AND(J305=0,K305=Nguyen_nhan!$B$3),"Đúng",IF(AND(J305&lt;&gt;0,K305=Nguyen_nhan!$B$3),"Sai",""))</f>
        <v>Đúng</v>
      </c>
    </row>
    <row r="306" spans="1:13" s="64" customFormat="1" ht="34.5" customHeight="1">
      <c r="A306" s="228">
        <v>36</v>
      </c>
      <c r="B306" s="320" t="s">
        <v>363</v>
      </c>
      <c r="C306" s="107">
        <v>44812</v>
      </c>
      <c r="D306" s="321">
        <v>143</v>
      </c>
      <c r="E306" s="323">
        <v>45043</v>
      </c>
      <c r="F306" s="96" t="s">
        <v>209</v>
      </c>
      <c r="G306" s="108" t="s">
        <v>820</v>
      </c>
      <c r="H306" s="326">
        <v>119713</v>
      </c>
      <c r="I306" s="325">
        <v>119713</v>
      </c>
      <c r="J306" s="101">
        <f t="shared" si="10"/>
        <v>0</v>
      </c>
      <c r="K306" s="108" t="s">
        <v>203</v>
      </c>
      <c r="L306" s="98"/>
      <c r="M306" s="344" t="str">
        <f>IF(AND(J306=0,K306=Nguyen_nhan!$B$3),"Đúng",IF(AND(J306&lt;&gt;0,K306=Nguyen_nhan!$B$3),"Sai",""))</f>
        <v>Đúng</v>
      </c>
    </row>
    <row r="307" spans="1:13" s="64" customFormat="1" ht="34.5" customHeight="1">
      <c r="A307" s="228">
        <v>37</v>
      </c>
      <c r="B307" s="324" t="s">
        <v>351</v>
      </c>
      <c r="C307" s="258">
        <v>44925</v>
      </c>
      <c r="D307" s="259">
        <v>171</v>
      </c>
      <c r="E307" s="258">
        <v>45112</v>
      </c>
      <c r="F307" s="96" t="s">
        <v>209</v>
      </c>
      <c r="G307" s="108" t="s">
        <v>821</v>
      </c>
      <c r="H307" s="329">
        <v>1907993</v>
      </c>
      <c r="I307" s="329">
        <v>0</v>
      </c>
      <c r="J307" s="101">
        <f t="shared" si="10"/>
        <v>1907993</v>
      </c>
      <c r="K307" s="108" t="s">
        <v>196</v>
      </c>
      <c r="L307" s="98"/>
      <c r="M307" s="344">
        <f>IF(AND(J307=0,K307=Nguyen_nhan!$B$3),"Đúng",IF(AND(J307&lt;&gt;0,K307=Nguyen_nhan!$B$3),"Sai",""))</f>
      </c>
    </row>
    <row r="308" spans="1:13" s="64" customFormat="1" ht="34.5" customHeight="1">
      <c r="A308" s="228">
        <v>38</v>
      </c>
      <c r="B308" s="320" t="s">
        <v>370</v>
      </c>
      <c r="C308" s="107">
        <v>43409</v>
      </c>
      <c r="D308" s="259">
        <v>181</v>
      </c>
      <c r="E308" s="258">
        <v>45142</v>
      </c>
      <c r="F308" s="306" t="s">
        <v>43</v>
      </c>
      <c r="G308" s="259" t="s">
        <v>602</v>
      </c>
      <c r="H308" s="330">
        <v>4800</v>
      </c>
      <c r="I308" s="330">
        <v>2400</v>
      </c>
      <c r="J308" s="101">
        <f t="shared" si="10"/>
        <v>2400</v>
      </c>
      <c r="K308" s="259" t="s">
        <v>196</v>
      </c>
      <c r="L308" s="98"/>
      <c r="M308" s="344">
        <f>IF(AND(J308=0,K308=Nguyen_nhan!$B$3),"Đúng",IF(AND(J308&lt;&gt;0,K308=Nguyen_nhan!$B$3),"Sai",""))</f>
      </c>
    </row>
    <row r="309" spans="1:13" s="127" customFormat="1" ht="34.5" customHeight="1">
      <c r="A309" s="181" t="s">
        <v>336</v>
      </c>
      <c r="B309" s="356" t="s">
        <v>337</v>
      </c>
      <c r="C309" s="357"/>
      <c r="D309" s="201"/>
      <c r="E309" s="202"/>
      <c r="F309" s="240"/>
      <c r="G309" s="203"/>
      <c r="H309" s="204"/>
      <c r="I309" s="204"/>
      <c r="J309" s="189"/>
      <c r="K309" s="205"/>
      <c r="L309" s="203"/>
      <c r="M309" s="344">
        <f>IF(AND(J309=0,K309=Nguyen_nhan!$B$3),"Đúng",IF(AND(J309&lt;&gt;0,K309=Nguyen_nhan!$B$3),"Sai",""))</f>
      </c>
    </row>
    <row r="310" spans="1:13" s="127" customFormat="1" ht="34.5" customHeight="1">
      <c r="A310" s="99">
        <v>1</v>
      </c>
      <c r="B310" s="260" t="s">
        <v>349</v>
      </c>
      <c r="C310" s="107">
        <v>44658</v>
      </c>
      <c r="D310" s="242">
        <v>163</v>
      </c>
      <c r="E310" s="113">
        <v>44720</v>
      </c>
      <c r="F310" s="242" t="s">
        <v>209</v>
      </c>
      <c r="G310" s="241" t="s">
        <v>699</v>
      </c>
      <c r="H310" s="101">
        <v>136092</v>
      </c>
      <c r="I310" s="101">
        <v>0</v>
      </c>
      <c r="J310" s="101">
        <f>H310-I310</f>
        <v>136092</v>
      </c>
      <c r="K310" s="100" t="s">
        <v>316</v>
      </c>
      <c r="L310" s="94"/>
      <c r="M310" s="344">
        <f>IF(AND(J310=0,K310=Nguyen_nhan!$B$3),"Đúng",IF(AND(J310&lt;&gt;0,K310=Nguyen_nhan!$B$3),"Sai",""))</f>
      </c>
    </row>
    <row r="311" spans="1:13" s="127" customFormat="1" ht="34.5" customHeight="1">
      <c r="A311" s="181" t="s">
        <v>338</v>
      </c>
      <c r="B311" s="356" t="s">
        <v>339</v>
      </c>
      <c r="C311" s="357"/>
      <c r="D311" s="206"/>
      <c r="E311" s="207"/>
      <c r="F311" s="208"/>
      <c r="G311" s="209"/>
      <c r="H311" s="190"/>
      <c r="I311" s="190"/>
      <c r="J311" s="190"/>
      <c r="K311" s="185"/>
      <c r="L311" s="183"/>
      <c r="M311" s="344">
        <f>IF(AND(J311=0,K311=Nguyen_nhan!$B$3),"Đúng",IF(AND(J311&lt;&gt;0,K311=Nguyen_nhan!$B$3),"Sai",""))</f>
      </c>
    </row>
    <row r="312" spans="1:13" s="81" customFormat="1" ht="34.5" customHeight="1">
      <c r="A312" s="228">
        <v>1</v>
      </c>
      <c r="B312" s="94" t="s">
        <v>679</v>
      </c>
      <c r="C312" s="95">
        <v>43691</v>
      </c>
      <c r="D312" s="94" t="s">
        <v>370</v>
      </c>
      <c r="E312" s="95">
        <v>44475</v>
      </c>
      <c r="F312" s="261" t="s">
        <v>27</v>
      </c>
      <c r="G312" s="94" t="s">
        <v>356</v>
      </c>
      <c r="H312" s="237">
        <v>32087</v>
      </c>
      <c r="I312" s="237">
        <v>32087</v>
      </c>
      <c r="J312" s="237">
        <f>H312-I312</f>
        <v>0</v>
      </c>
      <c r="K312" s="97" t="s">
        <v>203</v>
      </c>
      <c r="L312" s="98"/>
      <c r="M312" s="344" t="str">
        <f>IF(AND(J312=0,K312=Nguyen_nhan!$B$3),"Đúng",IF(AND(J312&lt;&gt;0,K312=Nguyen_nhan!$B$3),"Sai",""))</f>
        <v>Đúng</v>
      </c>
    </row>
    <row r="313" spans="1:13" s="127" customFormat="1" ht="34.5" customHeight="1">
      <c r="A313" s="181" t="s">
        <v>340</v>
      </c>
      <c r="B313" s="356" t="s">
        <v>341</v>
      </c>
      <c r="C313" s="357"/>
      <c r="D313" s="201"/>
      <c r="E313" s="202"/>
      <c r="F313" s="240"/>
      <c r="G313" s="203"/>
      <c r="H313" s="189"/>
      <c r="I313" s="189"/>
      <c r="J313" s="189"/>
      <c r="K313" s="205"/>
      <c r="L313" s="203"/>
      <c r="M313" s="344">
        <f>IF(AND(J313=0,K313=Nguyen_nhan!$B$3),"Đúng",IF(AND(J313&lt;&gt;0,K313=Nguyen_nhan!$B$3),"Sai",""))</f>
      </c>
    </row>
    <row r="314" spans="1:13" s="64" customFormat="1" ht="34.5" customHeight="1">
      <c r="A314" s="228">
        <v>1</v>
      </c>
      <c r="B314" s="100"/>
      <c r="C314" s="233"/>
      <c r="D314" s="97"/>
      <c r="E314" s="95"/>
      <c r="F314" s="96"/>
      <c r="G314" s="94"/>
      <c r="H314" s="227"/>
      <c r="I314" s="227"/>
      <c r="J314" s="227">
        <f>H314-I314</f>
        <v>0</v>
      </c>
      <c r="K314" s="234"/>
      <c r="L314" s="98"/>
      <c r="M314" s="344">
        <f>IF(AND(J314=0,K314=Nguyen_nhan!$B$3),"Đúng",IF(AND(J314&lt;&gt;0,K314=Nguyen_nhan!$B$3),"Sai",""))</f>
      </c>
    </row>
    <row r="315" spans="3:12" ht="15.75" customHeight="1">
      <c r="C315" s="235"/>
      <c r="G315" s="235"/>
      <c r="H315" s="359" t="s">
        <v>841</v>
      </c>
      <c r="I315" s="359"/>
      <c r="J315" s="359"/>
      <c r="K315" s="359"/>
      <c r="L315" s="235"/>
    </row>
    <row r="316" spans="2:12" ht="15.75" customHeight="1">
      <c r="B316" s="351" t="s">
        <v>319</v>
      </c>
      <c r="C316" s="351"/>
      <c r="D316" s="351"/>
      <c r="G316" s="235"/>
      <c r="H316" s="361" t="s">
        <v>317</v>
      </c>
      <c r="I316" s="361"/>
      <c r="J316" s="361"/>
      <c r="K316" s="361"/>
      <c r="L316" s="235"/>
    </row>
    <row r="317" spans="9:11" ht="15">
      <c r="I317" s="76"/>
      <c r="J317" s="76"/>
      <c r="K317" s="76"/>
    </row>
    <row r="318" spans="3:12" ht="15">
      <c r="C318" s="83"/>
      <c r="I318" s="76"/>
      <c r="J318" s="76"/>
      <c r="K318" s="76"/>
      <c r="L318" s="83"/>
    </row>
    <row r="319" spans="3:12" ht="15">
      <c r="C319" s="83"/>
      <c r="I319" s="76"/>
      <c r="J319" s="76"/>
      <c r="K319" s="76"/>
      <c r="L319" s="83"/>
    </row>
    <row r="320" spans="3:12" ht="15">
      <c r="C320" s="83"/>
      <c r="I320" s="76"/>
      <c r="J320" s="76"/>
      <c r="K320" s="76"/>
      <c r="L320" s="83"/>
    </row>
    <row r="324" spans="1:11" ht="15.75">
      <c r="A324" s="77"/>
      <c r="B324" s="351" t="s">
        <v>342</v>
      </c>
      <c r="C324" s="351"/>
      <c r="D324" s="351"/>
      <c r="H324" s="352" t="s">
        <v>343</v>
      </c>
      <c r="I324" s="352"/>
      <c r="J324" s="352"/>
      <c r="K324" s="352"/>
    </row>
    <row r="325" spans="1:11" ht="15.75">
      <c r="A325" s="78"/>
      <c r="B325" s="111"/>
      <c r="C325" s="78"/>
      <c r="I325" s="85"/>
      <c r="J325" s="85"/>
      <c r="K325" s="79"/>
    </row>
    <row r="326" ht="15">
      <c r="B326" s="112"/>
    </row>
  </sheetData>
  <sheetProtection/>
  <mergeCells count="26">
    <mergeCell ref="B313:C313"/>
    <mergeCell ref="A5:D5"/>
    <mergeCell ref="H316:K316"/>
    <mergeCell ref="B257:C257"/>
    <mergeCell ref="B270:C270"/>
    <mergeCell ref="B309:C309"/>
    <mergeCell ref="B249:C249"/>
    <mergeCell ref="B168:C168"/>
    <mergeCell ref="B150:C150"/>
    <mergeCell ref="E2:I5"/>
    <mergeCell ref="B324:D324"/>
    <mergeCell ref="H324:K324"/>
    <mergeCell ref="B38:C38"/>
    <mergeCell ref="J6:L6"/>
    <mergeCell ref="B10:C10"/>
    <mergeCell ref="J2:L4"/>
    <mergeCell ref="B83:C83"/>
    <mergeCell ref="B316:D316"/>
    <mergeCell ref="H315:K315"/>
    <mergeCell ref="B311:C311"/>
    <mergeCell ref="A1:B1"/>
    <mergeCell ref="K1:L1"/>
    <mergeCell ref="A7:A8"/>
    <mergeCell ref="A2:C2"/>
    <mergeCell ref="A4:C4"/>
    <mergeCell ref="A3:D3"/>
  </mergeCells>
  <conditionalFormatting sqref="E257 E270 E10 E313:E314 E168 E249 E309 E311 E38 E150">
    <cfRule type="cellIs" priority="504" dxfId="0" operator="lessThan" stopIfTrue="1">
      <formula>C10</formula>
    </cfRule>
  </conditionalFormatting>
  <conditionalFormatting sqref="E83">
    <cfRule type="cellIs" priority="231" dxfId="0" operator="lessThan" stopIfTrue="1">
      <formula>C83</formula>
    </cfRule>
  </conditionalFormatting>
  <conditionalFormatting sqref="E310">
    <cfRule type="cellIs" priority="30" dxfId="0" operator="lessThan" stopIfTrue="1">
      <formula>C310</formula>
    </cfRule>
  </conditionalFormatting>
  <conditionalFormatting sqref="E141:E144 E84:E139">
    <cfRule type="cellIs" priority="28" dxfId="0" operator="lessThan" stopIfTrue="1">
      <formula>C84</formula>
    </cfRule>
  </conditionalFormatting>
  <conditionalFormatting sqref="E148:E149">
    <cfRule type="cellIs" priority="27" dxfId="0" operator="lessThan" stopIfTrue="1">
      <formula>C148</formula>
    </cfRule>
  </conditionalFormatting>
  <conditionalFormatting sqref="E140">
    <cfRule type="cellIs" priority="26" dxfId="0" operator="lessThan" stopIfTrue="1">
      <formula>C140</formula>
    </cfRule>
  </conditionalFormatting>
  <conditionalFormatting sqref="E145:E146">
    <cfRule type="cellIs" priority="25" dxfId="0" operator="lessThan" stopIfTrue="1">
      <formula>C145</formula>
    </cfRule>
  </conditionalFormatting>
  <conditionalFormatting sqref="E147">
    <cfRule type="cellIs" priority="24" dxfId="0" operator="lessThan" stopIfTrue="1">
      <formula>C147</formula>
    </cfRule>
  </conditionalFormatting>
  <conditionalFormatting sqref="E155:E166">
    <cfRule type="cellIs" priority="23" dxfId="0" operator="lessThan" stopIfTrue="1">
      <formula>C155</formula>
    </cfRule>
  </conditionalFormatting>
  <conditionalFormatting sqref="E152 E154">
    <cfRule type="cellIs" priority="22" dxfId="0" operator="lessThan" stopIfTrue="1">
      <formula>C152</formula>
    </cfRule>
  </conditionalFormatting>
  <conditionalFormatting sqref="E151">
    <cfRule type="cellIs" priority="21" dxfId="0" operator="lessThan" stopIfTrue="1">
      <formula>C151</formula>
    </cfRule>
  </conditionalFormatting>
  <conditionalFormatting sqref="E153">
    <cfRule type="cellIs" priority="20" dxfId="0" operator="lessThan" stopIfTrue="1">
      <formula>C153</formula>
    </cfRule>
  </conditionalFormatting>
  <conditionalFormatting sqref="E167">
    <cfRule type="cellIs" priority="19" dxfId="0" operator="lessThan" stopIfTrue="1">
      <formula>C167</formula>
    </cfRule>
  </conditionalFormatting>
  <conditionalFormatting sqref="E41:E42">
    <cfRule type="cellIs" priority="17" dxfId="0" operator="lessThan" stopIfTrue="1">
      <formula>C41</formula>
    </cfRule>
  </conditionalFormatting>
  <conditionalFormatting sqref="E46:E47 E50:E53 E39:E40">
    <cfRule type="cellIs" priority="18" dxfId="0" operator="lessThan" stopIfTrue="1">
      <formula>C39</formula>
    </cfRule>
  </conditionalFormatting>
  <conditionalFormatting sqref="E45">
    <cfRule type="cellIs" priority="16" dxfId="0" operator="lessThan" stopIfTrue="1">
      <formula>C45</formula>
    </cfRule>
  </conditionalFormatting>
  <conditionalFormatting sqref="E45">
    <cfRule type="cellIs" priority="15" dxfId="0" operator="lessThan" stopIfTrue="1">
      <formula>C45</formula>
    </cfRule>
  </conditionalFormatting>
  <conditionalFormatting sqref="E48">
    <cfRule type="cellIs" priority="13" dxfId="0" operator="lessThan" stopIfTrue="1">
      <formula>C48</formula>
    </cfRule>
  </conditionalFormatting>
  <conditionalFormatting sqref="E48">
    <cfRule type="cellIs" priority="14" dxfId="0" operator="lessThan" stopIfTrue="1">
      <formula>C48</formula>
    </cfRule>
  </conditionalFormatting>
  <conditionalFormatting sqref="E49">
    <cfRule type="cellIs" priority="12" dxfId="0" operator="lessThan" stopIfTrue="1">
      <formula>C49</formula>
    </cfRule>
  </conditionalFormatting>
  <conditionalFormatting sqref="E49">
    <cfRule type="cellIs" priority="11" dxfId="0" operator="lessThan" stopIfTrue="1">
      <formula>C49</formula>
    </cfRule>
  </conditionalFormatting>
  <conditionalFormatting sqref="E54:E57">
    <cfRule type="cellIs" priority="10" dxfId="0" operator="lessThan" stopIfTrue="1">
      <formula>C54</formula>
    </cfRule>
  </conditionalFormatting>
  <conditionalFormatting sqref="E59:E63">
    <cfRule type="cellIs" priority="9" dxfId="0" operator="lessThan" stopIfTrue="1">
      <formula>C59</formula>
    </cfRule>
  </conditionalFormatting>
  <conditionalFormatting sqref="E78:E82">
    <cfRule type="cellIs" priority="5" dxfId="0" operator="lessThan" stopIfTrue="1">
      <formula>C78</formula>
    </cfRule>
  </conditionalFormatting>
  <conditionalFormatting sqref="E69:E70 E72">
    <cfRule type="cellIs" priority="8" dxfId="0" operator="lessThan" stopIfTrue="1">
      <formula>C69</formula>
    </cfRule>
  </conditionalFormatting>
  <conditionalFormatting sqref="E71">
    <cfRule type="cellIs" priority="7" dxfId="0" operator="lessThan" stopIfTrue="1">
      <formula>C71</formula>
    </cfRule>
  </conditionalFormatting>
  <conditionalFormatting sqref="E73:E77">
    <cfRule type="cellIs" priority="6" dxfId="0" operator="lessThan" stopIfTrue="1">
      <formula>C73</formula>
    </cfRule>
  </conditionalFormatting>
  <conditionalFormatting sqref="E11:E20 E22:E37">
    <cfRule type="cellIs" priority="4" dxfId="0" operator="lessThan" stopIfTrue="1">
      <formula>C11</formula>
    </cfRule>
  </conditionalFormatting>
  <conditionalFormatting sqref="E21">
    <cfRule type="cellIs" priority="3" dxfId="0" operator="lessThan" stopIfTrue="1">
      <formula>C21</formula>
    </cfRule>
  </conditionalFormatting>
  <conditionalFormatting sqref="E169:E174 E181:E240">
    <cfRule type="cellIs" priority="2" dxfId="0" operator="lessThan" stopIfTrue="1">
      <formula>C169</formula>
    </cfRule>
  </conditionalFormatting>
  <conditionalFormatting sqref="E175">
    <cfRule type="cellIs" priority="1" dxfId="0" operator="lessThan" stopIfTrue="1">
      <formula>C175</formula>
    </cfRule>
  </conditionalFormatting>
  <dataValidations count="10">
    <dataValidation type="list" allowBlank="1" showInputMessage="1" showErrorMessage="1" errorTitle="Thông báo" error="Lựa chọn theo danh sách (nếu chưa có tên tổ chức tín dụng đề nghị bổ sung thêm vào Sheet TCTD)" sqref="F300:F307 F11:F37 F309:F314 F75:F168 F59:F68 F39:F53 F261:F295 F176:F257">
      <formula1>INDIRECT("TCTD!$c$6:$c$100")</formula1>
    </dataValidation>
    <dataValidation allowBlank="1" showInputMessage="1" errorTitle="Thông báo" error="Lựa chọn theo DS (nếu chưa có tên ngân hàng đề nghị bổ sung vào Sheet TCTD)" sqref="F10"/>
    <dataValidation type="date" allowBlank="1" showInputMessage="1" showErrorMessage="1" errorTitle="Thông báo" error="Không được nhập quá ngày hiện tại" sqref="E257 E270 E313:E314 E69:E175 E309:E311 C84:C149 C151:C167 E10:E42 E249 C11:C37 C57:C58 E45:E57 C54 E59:E63 C73:C74 C80:C81 C169:C175 E181:E240 C181:C240">
      <formula1>25569</formula1>
      <formula2>TODAY()</formula2>
    </dataValidation>
    <dataValidation type="list" allowBlank="1" showInputMessage="1" showErrorMessage="1" errorTitle="Thông báo" error="Lựa chọn theo danh sách có sẵn" sqref="K297:K303 K11:K37 K309:K314 K39:K295">
      <formula1>Nguyennhan</formula1>
    </dataValidation>
    <dataValidation allowBlank="1" showInputMessage="1" errorTitle="Thông báo" error="Lựa chọn theo danh sách có sẵn" sqref="K10"/>
    <dataValidation type="list" allowBlank="1" showInputMessage="1" showErrorMessage="1" errorTitle="Thông báo" error="Lựa chọn theo danh sách (nếu chưa có tên tổ chức tín dụng đề nghị bổ sung thêm vào Sheet TCTD)" sqref="F258:F260 F69:F74 F54:F58 F169:F175">
      <formula1>INDIRECT("TCTD!$c$100:$c$6")</formula1>
    </dataValidation>
    <dataValidation allowBlank="1" showInputMessage="1" showErrorMessage="1" errorTitle="Thông báo" error="Lựa chọn theo danh sách (nếu chưa có tên tổ chức tín dụng đề nghị bổ sung thêm vào Sheet TCTD)" sqref="F38"/>
    <dataValidation allowBlank="1" showInputMessage="1" showErrorMessage="1" errorTitle="Thông báo" error="Lựa chọn theo danh sách có sẵn" sqref="K38"/>
    <dataValidation type="date" operator="lessThanOrEqual" allowBlank="1" showErrorMessage="1" errorTitle="NHẬP LIỆU SAI" error="1. Nhập theo định dạng NGÀY/THÁNG/NĂM : 30/10/2016&#10;2. Không nhập quá ngày hiện tại." sqref="E276">
      <formula1>TODAY()</formula1>
    </dataValidation>
    <dataValidation allowBlank="1" showInputMessage="1" promptTitle="Lưu ý" prompt="Nhập dạng 03/02/2020" errorTitle="Nhập sai định dạng" error="Ví dụ nhập dạng ngày 03/02/2020" sqref="E288:E292 E300:E306"/>
  </dataValidations>
  <printOptions/>
  <pageMargins left="0.81" right="0.25" top="0.4" bottom="0.39" header="0.31496062992126" footer="0.31496062992126"/>
  <pageSetup horizontalDpi="600" verticalDpi="600" orientation="landscape" paperSize="9" scale="80" r:id="rId2"/>
  <headerFooter>
    <oddFooter>&amp;R&amp;P</oddFooter>
  </headerFooter>
  <ignoredErrors>
    <ignoredError sqref="B252:D313 B39:D168 B249:D251 B169:E248 E249:E251 D11:D37" numberStoredAsText="1"/>
  </ignoredErrors>
  <drawing r:id="rId1"/>
</worksheet>
</file>

<file path=xl/worksheets/sheet3.xml><?xml version="1.0" encoding="utf-8"?>
<worksheet xmlns="http://schemas.openxmlformats.org/spreadsheetml/2006/main" xmlns:r="http://schemas.openxmlformats.org/officeDocument/2006/relationships">
  <sheetPr codeName="Sheet6"/>
  <dimension ref="A1:L33"/>
  <sheetViews>
    <sheetView view="pageBreakPreview" zoomScaleNormal="85" zoomScaleSheetLayoutView="100" zoomScalePageLayoutView="0" workbookViewId="0" topLeftCell="A22">
      <selection activeCell="C29" sqref="C29"/>
    </sheetView>
  </sheetViews>
  <sheetFormatPr defaultColWidth="9.00390625" defaultRowHeight="15"/>
  <cols>
    <col min="1" max="1" width="5.00390625" style="3" customWidth="1"/>
    <col min="2" max="2" width="25.57421875" style="3" customWidth="1"/>
    <col min="3" max="3" width="10.7109375" style="32" customWidth="1"/>
    <col min="4" max="4" width="8.140625" style="171" customWidth="1"/>
    <col min="5" max="5" width="10.140625" style="3" customWidth="1"/>
    <col min="6" max="6" width="20.421875" style="75" customWidth="1"/>
    <col min="7" max="7" width="21.7109375" style="171" customWidth="1"/>
    <col min="8" max="8" width="13.00390625" style="3" customWidth="1"/>
    <col min="9" max="9" width="8.8515625" style="3" customWidth="1"/>
    <col min="10" max="10" width="10.7109375" style="3" customWidth="1"/>
    <col min="11" max="11" width="20.7109375" style="3" customWidth="1"/>
    <col min="12" max="12" width="12.140625" style="32" customWidth="1"/>
    <col min="13" max="16384" width="9.00390625" style="3" customWidth="1"/>
  </cols>
  <sheetData>
    <row r="1" spans="1:12" ht="4.5" customHeight="1">
      <c r="A1" s="346"/>
      <c r="B1" s="346"/>
      <c r="C1" s="7"/>
      <c r="D1" s="173"/>
      <c r="E1" s="2"/>
      <c r="F1" s="73"/>
      <c r="G1" s="173"/>
      <c r="H1" s="2"/>
      <c r="I1" s="2"/>
      <c r="J1" s="2"/>
      <c r="K1" s="347"/>
      <c r="L1" s="347"/>
    </row>
    <row r="2" spans="1:12" ht="17.25" customHeight="1">
      <c r="A2" s="349" t="s">
        <v>194</v>
      </c>
      <c r="B2" s="349"/>
      <c r="C2" s="22"/>
      <c r="E2" s="363" t="s">
        <v>842</v>
      </c>
      <c r="F2" s="363"/>
      <c r="G2" s="363"/>
      <c r="H2" s="363"/>
      <c r="I2" s="363"/>
      <c r="J2" s="364"/>
      <c r="K2" s="364"/>
      <c r="L2" s="364"/>
    </row>
    <row r="3" spans="1:12" ht="22.5" customHeight="1">
      <c r="A3" s="365" t="s">
        <v>344</v>
      </c>
      <c r="B3" s="365"/>
      <c r="C3" s="365"/>
      <c r="D3" s="365"/>
      <c r="E3" s="363"/>
      <c r="F3" s="363"/>
      <c r="G3" s="363"/>
      <c r="H3" s="363"/>
      <c r="I3" s="363"/>
      <c r="J3" s="364"/>
      <c r="K3" s="364"/>
      <c r="L3" s="364"/>
    </row>
    <row r="4" spans="1:12" ht="21" customHeight="1">
      <c r="A4" s="349" t="s">
        <v>193</v>
      </c>
      <c r="B4" s="349"/>
      <c r="C4" s="22"/>
      <c r="D4" s="22"/>
      <c r="E4" s="363"/>
      <c r="F4" s="363"/>
      <c r="G4" s="363"/>
      <c r="H4" s="363"/>
      <c r="I4" s="363"/>
      <c r="J4" s="364"/>
      <c r="K4" s="364"/>
      <c r="L4" s="364"/>
    </row>
    <row r="5" spans="1:12" ht="19.5" customHeight="1">
      <c r="A5" s="365" t="s">
        <v>192</v>
      </c>
      <c r="B5" s="365"/>
      <c r="C5" s="365"/>
      <c r="D5" s="365"/>
      <c r="E5" s="363"/>
      <c r="F5" s="363"/>
      <c r="G5" s="363"/>
      <c r="H5" s="363"/>
      <c r="I5" s="363"/>
      <c r="J5" s="31"/>
      <c r="K5" s="31"/>
      <c r="L5" s="31"/>
    </row>
    <row r="6" spans="1:12" ht="20.25" customHeight="1">
      <c r="A6" s="4"/>
      <c r="B6" s="4"/>
      <c r="C6" s="8"/>
      <c r="D6" s="8"/>
      <c r="E6" s="5"/>
      <c r="F6" s="74"/>
      <c r="G6" s="8"/>
      <c r="H6" s="5"/>
      <c r="I6" s="5"/>
      <c r="J6" s="367" t="s">
        <v>2</v>
      </c>
      <c r="K6" s="367"/>
      <c r="L6" s="367"/>
    </row>
    <row r="7" spans="1:12" s="114" customFormat="1" ht="56.25" customHeight="1">
      <c r="A7" s="348" t="s">
        <v>10</v>
      </c>
      <c r="B7" s="105" t="s">
        <v>15</v>
      </c>
      <c r="C7" s="105" t="s">
        <v>16</v>
      </c>
      <c r="D7" s="172" t="s">
        <v>11</v>
      </c>
      <c r="E7" s="105" t="s">
        <v>17</v>
      </c>
      <c r="F7" s="89" t="s">
        <v>12</v>
      </c>
      <c r="G7" s="172" t="s">
        <v>18</v>
      </c>
      <c r="H7" s="105" t="s">
        <v>3</v>
      </c>
      <c r="I7" s="105" t="s">
        <v>4</v>
      </c>
      <c r="J7" s="105" t="s">
        <v>5</v>
      </c>
      <c r="K7" s="105" t="s">
        <v>6</v>
      </c>
      <c r="L7" s="105" t="s">
        <v>8</v>
      </c>
    </row>
    <row r="8" spans="1:12" s="114" customFormat="1" ht="13.5" customHeight="1">
      <c r="A8" s="348"/>
      <c r="B8" s="90">
        <v>1</v>
      </c>
      <c r="C8" s="91">
        <v>2</v>
      </c>
      <c r="D8" s="91">
        <v>3</v>
      </c>
      <c r="E8" s="91">
        <v>4</v>
      </c>
      <c r="F8" s="92">
        <v>5</v>
      </c>
      <c r="G8" s="91">
        <v>6</v>
      </c>
      <c r="H8" s="91">
        <v>7</v>
      </c>
      <c r="I8" s="91">
        <v>8</v>
      </c>
      <c r="J8" s="102" t="s">
        <v>14</v>
      </c>
      <c r="K8" s="91">
        <v>10</v>
      </c>
      <c r="L8" s="91">
        <v>11</v>
      </c>
    </row>
    <row r="9" spans="1:12" s="133" customFormat="1" ht="20.25" customHeight="1">
      <c r="A9" s="119"/>
      <c r="B9" s="132" t="s">
        <v>7</v>
      </c>
      <c r="C9" s="121">
        <f>COUNTA(C10:C26)</f>
        <v>4</v>
      </c>
      <c r="D9" s="121">
        <f>COUNTA(D10:D26)</f>
        <v>4</v>
      </c>
      <c r="E9" s="121">
        <f>COUNTA(E10:E26)</f>
        <v>4</v>
      </c>
      <c r="F9" s="121">
        <f>COUNTA(F10:F26)</f>
        <v>4</v>
      </c>
      <c r="G9" s="121">
        <f>COUNTA(G10:G26)</f>
        <v>4</v>
      </c>
      <c r="H9" s="121">
        <f>SUM(H11:H26)</f>
        <v>12979662</v>
      </c>
      <c r="I9" s="121">
        <f>SUM(I11:I26)</f>
        <v>0</v>
      </c>
      <c r="J9" s="121">
        <f>SUM(J11:J26)</f>
        <v>12979662</v>
      </c>
      <c r="K9" s="121">
        <f>COUNTA(K10:K26)</f>
        <v>4</v>
      </c>
      <c r="L9" s="121">
        <f>COUNTA(L10:L26)</f>
        <v>0</v>
      </c>
    </row>
    <row r="10" spans="1:12" s="133" customFormat="1" ht="25.5" customHeight="1">
      <c r="A10" s="122" t="s">
        <v>0</v>
      </c>
      <c r="B10" s="151" t="s">
        <v>347</v>
      </c>
      <c r="C10" s="134"/>
      <c r="D10" s="124"/>
      <c r="E10" s="123"/>
      <c r="F10" s="120"/>
      <c r="G10" s="124"/>
      <c r="H10" s="125"/>
      <c r="I10" s="125"/>
      <c r="J10" s="135"/>
      <c r="K10" s="126"/>
      <c r="L10" s="124"/>
    </row>
    <row r="11" spans="1:12" s="114" customFormat="1" ht="25.5" customHeight="1">
      <c r="A11" s="228">
        <v>1</v>
      </c>
      <c r="B11" s="229" t="s">
        <v>680</v>
      </c>
      <c r="C11" s="95">
        <v>44544</v>
      </c>
      <c r="D11" s="94" t="s">
        <v>430</v>
      </c>
      <c r="E11" s="95">
        <v>44707</v>
      </c>
      <c r="F11" s="96" t="s">
        <v>212</v>
      </c>
      <c r="G11" s="94" t="s">
        <v>681</v>
      </c>
      <c r="H11" s="217">
        <v>2384757</v>
      </c>
      <c r="I11" s="115">
        <v>0</v>
      </c>
      <c r="J11" s="115">
        <f>H11-I11</f>
        <v>2384757</v>
      </c>
      <c r="K11" s="97" t="s">
        <v>316</v>
      </c>
      <c r="L11" s="98"/>
    </row>
    <row r="12" spans="1:12" s="133" customFormat="1" ht="25.5" customHeight="1">
      <c r="A12" s="122" t="s">
        <v>1</v>
      </c>
      <c r="B12" s="151" t="s">
        <v>346</v>
      </c>
      <c r="C12" s="129"/>
      <c r="D12" s="174"/>
      <c r="E12" s="129"/>
      <c r="F12" s="130"/>
      <c r="G12" s="128"/>
      <c r="H12" s="136"/>
      <c r="I12" s="136"/>
      <c r="J12" s="137">
        <f>H12-I12</f>
        <v>0</v>
      </c>
      <c r="K12" s="131"/>
      <c r="L12" s="151"/>
    </row>
    <row r="13" spans="1:12" s="133" customFormat="1" ht="25.5" customHeight="1">
      <c r="A13" s="228">
        <v>1</v>
      </c>
      <c r="B13" s="98" t="s">
        <v>445</v>
      </c>
      <c r="C13" s="296">
        <v>42975</v>
      </c>
      <c r="D13" s="98" t="s">
        <v>446</v>
      </c>
      <c r="E13" s="296">
        <v>43074</v>
      </c>
      <c r="F13" s="232" t="s">
        <v>30</v>
      </c>
      <c r="G13" s="98" t="s">
        <v>830</v>
      </c>
      <c r="H13" s="300">
        <v>4203372</v>
      </c>
      <c r="I13" s="301">
        <v>0</v>
      </c>
      <c r="J13" s="298">
        <f>H13-I13</f>
        <v>4203372</v>
      </c>
      <c r="K13" s="100" t="s">
        <v>316</v>
      </c>
      <c r="L13" s="98"/>
    </row>
    <row r="14" spans="1:12" s="114" customFormat="1" ht="23.25" customHeight="1">
      <c r="A14" s="228">
        <v>2</v>
      </c>
      <c r="B14" s="98" t="s">
        <v>355</v>
      </c>
      <c r="C14" s="296">
        <v>42921</v>
      </c>
      <c r="D14" s="98" t="s">
        <v>442</v>
      </c>
      <c r="E14" s="296">
        <v>43095</v>
      </c>
      <c r="F14" s="232" t="s">
        <v>30</v>
      </c>
      <c r="G14" s="98" t="s">
        <v>443</v>
      </c>
      <c r="H14" s="300">
        <v>6000000</v>
      </c>
      <c r="I14" s="255">
        <v>0</v>
      </c>
      <c r="J14" s="298">
        <f>H14-I14</f>
        <v>6000000</v>
      </c>
      <c r="K14" s="158" t="s">
        <v>316</v>
      </c>
      <c r="L14" s="87"/>
    </row>
    <row r="15" spans="1:12" s="114" customFormat="1" ht="29.25" customHeight="1">
      <c r="A15" s="122" t="s">
        <v>13</v>
      </c>
      <c r="B15" s="141" t="s">
        <v>345</v>
      </c>
      <c r="C15" s="142"/>
      <c r="D15" s="143"/>
      <c r="E15" s="142"/>
      <c r="F15" s="144"/>
      <c r="G15" s="143"/>
      <c r="H15" s="145"/>
      <c r="I15" s="146"/>
      <c r="J15" s="146"/>
      <c r="K15" s="147"/>
      <c r="L15" s="143"/>
    </row>
    <row r="16" spans="1:12" s="114" customFormat="1" ht="12" customHeight="1">
      <c r="A16" s="86">
        <v>1</v>
      </c>
      <c r="B16" s="164"/>
      <c r="C16" s="161"/>
      <c r="D16" s="162"/>
      <c r="E16" s="161"/>
      <c r="F16" s="163"/>
      <c r="G16" s="148"/>
      <c r="H16" s="165"/>
      <c r="I16" s="101"/>
      <c r="J16" s="101"/>
      <c r="K16" s="149"/>
      <c r="L16" s="87"/>
    </row>
    <row r="17" spans="1:12" s="114" customFormat="1" ht="29.25" customHeight="1">
      <c r="A17" s="122" t="s">
        <v>326</v>
      </c>
      <c r="B17" s="224" t="s">
        <v>700</v>
      </c>
      <c r="C17" s="218"/>
      <c r="D17" s="219"/>
      <c r="E17" s="218"/>
      <c r="F17" s="220"/>
      <c r="G17" s="221"/>
      <c r="H17" s="222"/>
      <c r="I17" s="222"/>
      <c r="J17" s="222"/>
      <c r="K17" s="221"/>
      <c r="L17" s="223"/>
    </row>
    <row r="18" spans="1:12" s="114" customFormat="1" ht="12" customHeight="1">
      <c r="A18" s="86">
        <v>1</v>
      </c>
      <c r="B18" s="164"/>
      <c r="C18" s="161"/>
      <c r="D18" s="162"/>
      <c r="E18" s="161"/>
      <c r="F18" s="163"/>
      <c r="G18" s="148"/>
      <c r="H18" s="165"/>
      <c r="I18" s="101"/>
      <c r="J18" s="101"/>
      <c r="K18" s="149"/>
      <c r="L18" s="87"/>
    </row>
    <row r="19" spans="1:12" s="114" customFormat="1" ht="29.25" customHeight="1">
      <c r="A19" s="152" t="s">
        <v>329</v>
      </c>
      <c r="B19" s="141" t="s">
        <v>629</v>
      </c>
      <c r="C19" s="153"/>
      <c r="D19" s="141"/>
      <c r="E19" s="153"/>
      <c r="F19" s="154"/>
      <c r="G19" s="141"/>
      <c r="H19" s="155"/>
      <c r="I19" s="156"/>
      <c r="J19" s="156"/>
      <c r="K19" s="157"/>
      <c r="L19" s="141"/>
    </row>
    <row r="20" spans="1:12" s="114" customFormat="1" ht="10.5" customHeight="1">
      <c r="A20" s="86">
        <v>1</v>
      </c>
      <c r="B20" s="159"/>
      <c r="C20" s="113"/>
      <c r="D20" s="116"/>
      <c r="E20" s="113"/>
      <c r="F20" s="96"/>
      <c r="G20" s="103"/>
      <c r="H20" s="104"/>
      <c r="I20" s="104"/>
      <c r="J20" s="104"/>
      <c r="K20" s="158"/>
      <c r="L20" s="87"/>
    </row>
    <row r="21" spans="1:12" s="114" customFormat="1" ht="29.25" customHeight="1">
      <c r="A21" s="122" t="s">
        <v>330</v>
      </c>
      <c r="B21" s="224" t="s">
        <v>701</v>
      </c>
      <c r="C21" s="129"/>
      <c r="D21" s="226"/>
      <c r="E21" s="129"/>
      <c r="F21" s="130"/>
      <c r="G21" s="128"/>
      <c r="H21" s="137"/>
      <c r="I21" s="137"/>
      <c r="J21" s="137"/>
      <c r="K21" s="128"/>
      <c r="L21" s="174"/>
    </row>
    <row r="22" spans="1:12" s="114" customFormat="1" ht="24.75" customHeight="1">
      <c r="A22" s="86">
        <v>1</v>
      </c>
      <c r="B22" s="97" t="s">
        <v>780</v>
      </c>
      <c r="C22" s="95">
        <v>44378</v>
      </c>
      <c r="D22" s="94" t="s">
        <v>430</v>
      </c>
      <c r="E22" s="95">
        <v>44845</v>
      </c>
      <c r="F22" s="96" t="s">
        <v>53</v>
      </c>
      <c r="G22" s="97" t="s">
        <v>781</v>
      </c>
      <c r="H22" s="286">
        <v>391533</v>
      </c>
      <c r="I22" s="286">
        <v>0</v>
      </c>
      <c r="J22" s="104">
        <f>H22-I22</f>
        <v>391533</v>
      </c>
      <c r="K22" s="158" t="s">
        <v>316</v>
      </c>
      <c r="L22" s="87"/>
    </row>
    <row r="23" spans="1:12" s="114" customFormat="1" ht="29.25" customHeight="1">
      <c r="A23" s="122" t="s">
        <v>332</v>
      </c>
      <c r="B23" s="224" t="s">
        <v>702</v>
      </c>
      <c r="C23" s="218"/>
      <c r="D23" s="225"/>
      <c r="E23" s="218"/>
      <c r="F23" s="220"/>
      <c r="G23" s="221"/>
      <c r="H23" s="222"/>
      <c r="I23" s="222"/>
      <c r="J23" s="222"/>
      <c r="K23" s="221"/>
      <c r="L23" s="223"/>
    </row>
    <row r="24" spans="1:12" s="114" customFormat="1" ht="14.25" customHeight="1">
      <c r="A24" s="86">
        <v>1</v>
      </c>
      <c r="B24" s="159"/>
      <c r="C24" s="113"/>
      <c r="D24" s="116"/>
      <c r="E24" s="113"/>
      <c r="F24" s="96"/>
      <c r="G24" s="103"/>
      <c r="H24" s="104"/>
      <c r="I24" s="104"/>
      <c r="J24" s="104"/>
      <c r="K24" s="158"/>
      <c r="L24" s="87"/>
    </row>
    <row r="25" spans="1:12" s="114" customFormat="1" ht="29.25" customHeight="1">
      <c r="A25" s="152" t="s">
        <v>334</v>
      </c>
      <c r="B25" s="166" t="s">
        <v>632</v>
      </c>
      <c r="C25" s="167"/>
      <c r="D25" s="141"/>
      <c r="E25" s="168"/>
      <c r="F25" s="154"/>
      <c r="G25" s="169"/>
      <c r="H25" s="155"/>
      <c r="I25" s="170"/>
      <c r="J25" s="170"/>
      <c r="K25" s="157"/>
      <c r="L25" s="141"/>
    </row>
    <row r="26" spans="1:12" s="133" customFormat="1" ht="16.5" customHeight="1">
      <c r="A26" s="86">
        <v>1</v>
      </c>
      <c r="B26" s="118"/>
      <c r="C26" s="107"/>
      <c r="D26" s="108"/>
      <c r="E26" s="107"/>
      <c r="F26" s="96"/>
      <c r="G26" s="108"/>
      <c r="H26" s="104"/>
      <c r="I26" s="101"/>
      <c r="J26" s="101"/>
      <c r="K26" s="100"/>
      <c r="L26" s="140"/>
    </row>
    <row r="27" spans="9:12" ht="16.5" customHeight="1">
      <c r="I27" s="368" t="s">
        <v>843</v>
      </c>
      <c r="J27" s="368"/>
      <c r="K27" s="368"/>
      <c r="L27" s="368"/>
    </row>
    <row r="28" spans="2:12" ht="15" customHeight="1">
      <c r="B28" s="33" t="s">
        <v>319</v>
      </c>
      <c r="I28" s="361" t="s">
        <v>317</v>
      </c>
      <c r="J28" s="361"/>
      <c r="K28" s="361"/>
      <c r="L28" s="361"/>
    </row>
    <row r="29" spans="9:11" ht="15">
      <c r="I29" s="29"/>
      <c r="J29" s="29"/>
      <c r="K29" s="29"/>
    </row>
    <row r="30" spans="3:12" ht="15">
      <c r="C30" s="238"/>
      <c r="D30" s="238"/>
      <c r="G30" s="238"/>
      <c r="I30" s="29"/>
      <c r="J30" s="29"/>
      <c r="K30" s="29"/>
      <c r="L30" s="238"/>
    </row>
    <row r="31" spans="3:12" ht="15">
      <c r="C31" s="238"/>
      <c r="D31" s="238"/>
      <c r="G31" s="238"/>
      <c r="I31" s="29"/>
      <c r="J31" s="29"/>
      <c r="K31" s="29"/>
      <c r="L31" s="238"/>
    </row>
    <row r="33" spans="1:12" ht="15.75">
      <c r="A33" s="30"/>
      <c r="B33" s="25" t="s">
        <v>342</v>
      </c>
      <c r="C33" s="30"/>
      <c r="I33" s="366" t="s">
        <v>343</v>
      </c>
      <c r="J33" s="366"/>
      <c r="K33" s="366"/>
      <c r="L33" s="366"/>
    </row>
  </sheetData>
  <sheetProtection/>
  <mergeCells count="13">
    <mergeCell ref="I33:L33"/>
    <mergeCell ref="J6:L6"/>
    <mergeCell ref="A7:A8"/>
    <mergeCell ref="I27:L27"/>
    <mergeCell ref="I28:L28"/>
    <mergeCell ref="A1:B1"/>
    <mergeCell ref="K1:L1"/>
    <mergeCell ref="A2:B2"/>
    <mergeCell ref="E2:I5"/>
    <mergeCell ref="J2:L4"/>
    <mergeCell ref="A3:D3"/>
    <mergeCell ref="A4:B4"/>
    <mergeCell ref="A5:D5"/>
  </mergeCells>
  <conditionalFormatting sqref="E10 E12 E15 E19:E21">
    <cfRule type="cellIs" priority="32" dxfId="0" operator="lessThan" stopIfTrue="1">
      <formula>C10</formula>
    </cfRule>
  </conditionalFormatting>
  <conditionalFormatting sqref="E23:E24">
    <cfRule type="cellIs" priority="11" dxfId="0" operator="lessThan" stopIfTrue="1">
      <formula>C23</formula>
    </cfRule>
  </conditionalFormatting>
  <conditionalFormatting sqref="E16:E18">
    <cfRule type="cellIs" priority="7" dxfId="0" operator="lessThan" stopIfTrue="1">
      <formula>C16</formula>
    </cfRule>
  </conditionalFormatting>
  <conditionalFormatting sqref="E11">
    <cfRule type="cellIs" priority="4" dxfId="0" operator="lessThan" stopIfTrue="1">
      <formula>C11</formula>
    </cfRule>
  </conditionalFormatting>
  <conditionalFormatting sqref="E13">
    <cfRule type="cellIs" priority="2" dxfId="0" operator="lessThan" stopIfTrue="1">
      <formula>C13</formula>
    </cfRule>
  </conditionalFormatting>
  <conditionalFormatting sqref="E14">
    <cfRule type="cellIs" priority="1" dxfId="0" operator="lessThan" stopIfTrue="1">
      <formula>C14</formula>
    </cfRule>
  </conditionalFormatting>
  <dataValidations count="6">
    <dataValidation allowBlank="1" showInputMessage="1" errorTitle="Thông báo" error="Lựa chọn theo danh sách có sẵn" sqref="K10"/>
    <dataValidation type="date" allowBlank="1" showInputMessage="1" showErrorMessage="1" errorTitle="Thông báo" error="Không được nhập quá ngày hiện tại" sqref="E10:E14 E18 E24 C18 C24 E16 C16 C20 E20 C12">
      <formula1>25569</formula1>
      <formula2>TODAY()</formula2>
    </dataValidation>
    <dataValidation allowBlank="1" showInputMessage="1" errorTitle="Thông báo" error="Lựa chọn theo DS (nếu chưa có tên ngân hàng đề nghị bổ sung vào Sheet TCTD)" sqref="F10"/>
    <dataValidation type="list" allowBlank="1" showInputMessage="1" showErrorMessage="1" errorTitle="Thông báo" error="Lựa chọn theo danh sách (nếu chưa có tên tổ chức tín dụng đề nghị bổ sung thêm vào Sheet TCTD)" sqref="F22 F18 F26 F16 F20 F24 F11:F14">
      <formula1>INDIRECT("TCTD!$c$6:$c$100")</formula1>
    </dataValidation>
    <dataValidation type="list" allowBlank="1" showInputMessage="1" showErrorMessage="1" errorTitle="Thông báo" error="Lựa chọn theo danh sách có sẵn" sqref="K11:K14 K20 K22 K24">
      <formula1>INDIRECT("Nguyen_nhan!$b$12")</formula1>
    </dataValidation>
    <dataValidation type="list" allowBlank="1" showInputMessage="1" showErrorMessage="1" errorTitle="Thông báo" error="Lựa chọn theo danh sách có sẵn" sqref="K26 K16 K18">
      <formula1>Nguyennhan</formula1>
    </dataValidation>
  </dataValidations>
  <printOptions/>
  <pageMargins left="0.88" right="0.25" top="0.5" bottom="0.28" header="0.31496062992126" footer="0.2"/>
  <pageSetup horizontalDpi="600" verticalDpi="600" orientation="landscape" paperSize="9" scale="80" r:id="rId1"/>
  <headerFooter>
    <oddFooter>&amp;R&amp;P</oddFooter>
  </headerFooter>
  <ignoredErrors>
    <ignoredError sqref="D11 D22 B13:B14 D13:D14" numberStoredAsText="1"/>
  </ignoredErrors>
</worksheet>
</file>

<file path=xl/worksheets/sheet4.xml><?xml version="1.0" encoding="utf-8"?>
<worksheet xmlns="http://schemas.openxmlformats.org/spreadsheetml/2006/main" xmlns:r="http://schemas.openxmlformats.org/officeDocument/2006/relationships">
  <sheetPr codeName="Sheet2"/>
  <dimension ref="A2:B12"/>
  <sheetViews>
    <sheetView view="pageBreakPreview" zoomScaleSheetLayoutView="100" zoomScalePageLayoutView="0" workbookViewId="0" topLeftCell="A1">
      <selection activeCell="B36" sqref="B36"/>
    </sheetView>
  </sheetViews>
  <sheetFormatPr defaultColWidth="9.140625" defaultRowHeight="15"/>
  <cols>
    <col min="1" max="1" width="3.8515625" style="1" customWidth="1"/>
    <col min="2" max="2" width="87.7109375" style="0" customWidth="1"/>
    <col min="5" max="5" width="30.8515625" style="0" customWidth="1"/>
    <col min="6" max="6" width="30.7109375" style="0" customWidth="1"/>
  </cols>
  <sheetData>
    <row r="2" spans="1:2" ht="21" customHeight="1">
      <c r="A2" s="9" t="s">
        <v>20</v>
      </c>
      <c r="B2" s="9" t="s">
        <v>21</v>
      </c>
    </row>
    <row r="3" spans="1:2" ht="21" customHeight="1">
      <c r="A3" s="24">
        <v>1</v>
      </c>
      <c r="B3" s="23" t="s">
        <v>203</v>
      </c>
    </row>
    <row r="4" spans="1:2" ht="21" customHeight="1">
      <c r="A4" s="24">
        <v>2</v>
      </c>
      <c r="B4" s="23" t="s">
        <v>204</v>
      </c>
    </row>
    <row r="5" spans="1:2" ht="21" customHeight="1">
      <c r="A5" s="24">
        <v>3</v>
      </c>
      <c r="B5" s="23" t="s">
        <v>196</v>
      </c>
    </row>
    <row r="6" spans="1:2" ht="21" customHeight="1">
      <c r="A6" s="24">
        <v>4</v>
      </c>
      <c r="B6" s="23" t="s">
        <v>197</v>
      </c>
    </row>
    <row r="7" spans="1:2" ht="21" customHeight="1">
      <c r="A7" s="24">
        <v>5</v>
      </c>
      <c r="B7" s="23" t="s">
        <v>198</v>
      </c>
    </row>
    <row r="8" spans="1:2" ht="21" customHeight="1">
      <c r="A8" s="24">
        <v>6</v>
      </c>
      <c r="B8" s="23" t="s">
        <v>199</v>
      </c>
    </row>
    <row r="9" spans="1:2" ht="21" customHeight="1">
      <c r="A9" s="24">
        <v>7</v>
      </c>
      <c r="B9" s="23" t="s">
        <v>200</v>
      </c>
    </row>
    <row r="10" spans="1:2" ht="21" customHeight="1">
      <c r="A10" s="24">
        <v>8</v>
      </c>
      <c r="B10" s="23" t="s">
        <v>201</v>
      </c>
    </row>
    <row r="11" spans="1:2" ht="21" customHeight="1">
      <c r="A11" s="24">
        <v>9</v>
      </c>
      <c r="B11" s="23" t="s">
        <v>202</v>
      </c>
    </row>
    <row r="12" spans="1:2" ht="24" customHeight="1">
      <c r="A12" s="24">
        <v>10</v>
      </c>
      <c r="B12" s="43" t="s">
        <v>316</v>
      </c>
    </row>
  </sheetData>
  <sheetProtection password="C763" sheet="1"/>
  <printOptions/>
  <pageMargins left="0.63" right="0.3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3"/>
  <dimension ref="A2:C200"/>
  <sheetViews>
    <sheetView view="pageBreakPreview" zoomScaleSheetLayoutView="100" zoomScalePageLayoutView="0" workbookViewId="0" topLeftCell="A1">
      <pane ySplit="5" topLeftCell="A6" activePane="bottomLeft" state="frozen"/>
      <selection pane="topLeft" activeCell="A1" sqref="A1"/>
      <selection pane="bottomLeft" activeCell="C7" sqref="C7"/>
    </sheetView>
  </sheetViews>
  <sheetFormatPr defaultColWidth="9.140625" defaultRowHeight="15"/>
  <cols>
    <col min="1" max="1" width="1.1484375" style="44" customWidth="1"/>
    <col min="2" max="2" width="5.00390625" style="45" customWidth="1"/>
    <col min="3" max="3" width="84.8515625" style="44" customWidth="1"/>
    <col min="4" max="16384" width="9.140625" style="44" customWidth="1"/>
  </cols>
  <sheetData>
    <row r="1" ht="5.25" customHeight="1"/>
    <row r="2" spans="2:3" ht="23.25" customHeight="1">
      <c r="B2" s="369" t="s">
        <v>188</v>
      </c>
      <c r="C2" s="369"/>
    </row>
    <row r="3" spans="2:3" ht="6.75" customHeight="1">
      <c r="B3" s="56"/>
      <c r="C3" s="56"/>
    </row>
    <row r="4" spans="2:3" ht="12.75" customHeight="1">
      <c r="B4" s="370" t="s">
        <v>20</v>
      </c>
      <c r="C4" s="370" t="s">
        <v>189</v>
      </c>
    </row>
    <row r="5" spans="2:3" s="46" customFormat="1" ht="12.75">
      <c r="B5" s="370"/>
      <c r="C5" s="370"/>
    </row>
    <row r="6" spans="1:3" s="46" customFormat="1" ht="12.75">
      <c r="A6" s="47"/>
      <c r="B6" s="57">
        <v>1</v>
      </c>
      <c r="C6" s="58" t="s">
        <v>57</v>
      </c>
    </row>
    <row r="7" spans="1:3" s="46" customFormat="1" ht="12.75">
      <c r="A7" s="47"/>
      <c r="B7" s="59" t="s">
        <v>23</v>
      </c>
      <c r="C7" s="60" t="s">
        <v>55</v>
      </c>
    </row>
    <row r="8" spans="1:3" s="46" customFormat="1" ht="12.75">
      <c r="A8" s="50"/>
      <c r="B8" s="59" t="s">
        <v>24</v>
      </c>
      <c r="C8" s="60" t="s">
        <v>56</v>
      </c>
    </row>
    <row r="9" spans="1:3" s="46" customFormat="1" ht="12.75">
      <c r="A9" s="51"/>
      <c r="B9" s="57">
        <v>2</v>
      </c>
      <c r="C9" s="61" t="s">
        <v>243</v>
      </c>
    </row>
    <row r="10" spans="1:3" s="46" customFormat="1" ht="12.75">
      <c r="A10" s="51"/>
      <c r="B10" s="59" t="s">
        <v>25</v>
      </c>
      <c r="C10" s="60" t="s">
        <v>206</v>
      </c>
    </row>
    <row r="11" spans="1:3" s="46" customFormat="1" ht="12.75">
      <c r="A11" s="51"/>
      <c r="B11" s="59" t="s">
        <v>26</v>
      </c>
      <c r="C11" s="60" t="s">
        <v>205</v>
      </c>
    </row>
    <row r="12" spans="1:3" s="46" customFormat="1" ht="12.75">
      <c r="A12" s="51"/>
      <c r="B12" s="57">
        <v>3</v>
      </c>
      <c r="C12" s="61" t="s">
        <v>248</v>
      </c>
    </row>
    <row r="13" spans="1:3" s="46" customFormat="1" ht="12.75">
      <c r="A13" s="51"/>
      <c r="B13" s="59" t="s">
        <v>58</v>
      </c>
      <c r="C13" s="60" t="s">
        <v>29</v>
      </c>
    </row>
    <row r="14" spans="1:3" s="46" customFormat="1" ht="12.75">
      <c r="A14" s="51"/>
      <c r="B14" s="59" t="s">
        <v>59</v>
      </c>
      <c r="C14" s="60" t="s">
        <v>209</v>
      </c>
    </row>
    <row r="15" spans="1:3" s="46" customFormat="1" ht="12.75">
      <c r="A15" s="51"/>
      <c r="B15" s="59" t="s">
        <v>60</v>
      </c>
      <c r="C15" s="60" t="s">
        <v>207</v>
      </c>
    </row>
    <row r="16" spans="1:3" s="46" customFormat="1" ht="12.75">
      <c r="A16" s="50"/>
      <c r="B16" s="57">
        <v>4</v>
      </c>
      <c r="C16" s="61" t="s">
        <v>210</v>
      </c>
    </row>
    <row r="17" spans="1:3" s="46" customFormat="1" ht="12.75">
      <c r="A17" s="50"/>
      <c r="B17" s="59" t="s">
        <v>61</v>
      </c>
      <c r="C17" s="60" t="s">
        <v>212</v>
      </c>
    </row>
    <row r="18" spans="1:3" s="46" customFormat="1" ht="12.75">
      <c r="A18" s="50"/>
      <c r="B18" s="59" t="s">
        <v>62</v>
      </c>
      <c r="C18" s="60" t="s">
        <v>30</v>
      </c>
    </row>
    <row r="19" spans="1:3" s="46" customFormat="1" ht="12.75">
      <c r="A19" s="50"/>
      <c r="B19" s="59" t="s">
        <v>63</v>
      </c>
      <c r="C19" s="60" t="s">
        <v>31</v>
      </c>
    </row>
    <row r="20" spans="1:3" s="46" customFormat="1" ht="12.75">
      <c r="A20" s="50"/>
      <c r="B20" s="59" t="s">
        <v>64</v>
      </c>
      <c r="C20" s="60" t="s">
        <v>45</v>
      </c>
    </row>
    <row r="21" spans="1:3" s="46" customFormat="1" ht="12.75">
      <c r="A21" s="50"/>
      <c r="B21" s="59" t="s">
        <v>65</v>
      </c>
      <c r="C21" s="60" t="s">
        <v>32</v>
      </c>
    </row>
    <row r="22" spans="1:3" s="46" customFormat="1" ht="12.75">
      <c r="A22" s="50"/>
      <c r="B22" s="59" t="s">
        <v>66</v>
      </c>
      <c r="C22" s="60" t="s">
        <v>49</v>
      </c>
    </row>
    <row r="23" spans="1:3" s="46" customFormat="1" ht="12.75">
      <c r="A23" s="50"/>
      <c r="B23" s="59" t="s">
        <v>67</v>
      </c>
      <c r="C23" s="60" t="s">
        <v>52</v>
      </c>
    </row>
    <row r="24" spans="1:3" s="46" customFormat="1" ht="12.75">
      <c r="A24" s="50"/>
      <c r="B24" s="59" t="s">
        <v>68</v>
      </c>
      <c r="C24" s="60" t="s">
        <v>208</v>
      </c>
    </row>
    <row r="25" spans="1:3" s="46" customFormat="1" ht="12.75">
      <c r="A25" s="50"/>
      <c r="B25" s="59" t="s">
        <v>69</v>
      </c>
      <c r="C25" s="60" t="s">
        <v>54</v>
      </c>
    </row>
    <row r="26" spans="1:3" s="46" customFormat="1" ht="12.75">
      <c r="A26" s="50"/>
      <c r="B26" s="59" t="s">
        <v>70</v>
      </c>
      <c r="C26" s="60" t="s">
        <v>53</v>
      </c>
    </row>
    <row r="27" spans="1:3" s="46" customFormat="1" ht="12.75">
      <c r="A27" s="50"/>
      <c r="B27" s="59" t="s">
        <v>71</v>
      </c>
      <c r="C27" s="60" t="s">
        <v>27</v>
      </c>
    </row>
    <row r="28" spans="1:3" s="46" customFormat="1" ht="12.75">
      <c r="A28" s="50"/>
      <c r="B28" s="59" t="s">
        <v>72</v>
      </c>
      <c r="C28" s="60" t="s">
        <v>28</v>
      </c>
    </row>
    <row r="29" spans="1:3" s="46" customFormat="1" ht="12.75">
      <c r="A29" s="50"/>
      <c r="B29" s="59" t="s">
        <v>73</v>
      </c>
      <c r="C29" s="60" t="s">
        <v>213</v>
      </c>
    </row>
    <row r="30" spans="1:3" s="46" customFormat="1" ht="12.75">
      <c r="A30" s="50"/>
      <c r="B30" s="59" t="s">
        <v>74</v>
      </c>
      <c r="C30" s="60" t="s">
        <v>33</v>
      </c>
    </row>
    <row r="31" spans="1:3" s="46" customFormat="1" ht="12.75">
      <c r="A31" s="50"/>
      <c r="B31" s="59" t="s">
        <v>216</v>
      </c>
      <c r="C31" s="60" t="s">
        <v>214</v>
      </c>
    </row>
    <row r="32" spans="1:3" s="46" customFormat="1" ht="12.75">
      <c r="A32" s="50"/>
      <c r="B32" s="59" t="s">
        <v>217</v>
      </c>
      <c r="C32" s="60" t="s">
        <v>34</v>
      </c>
    </row>
    <row r="33" spans="1:3" s="46" customFormat="1" ht="12.75">
      <c r="A33" s="50"/>
      <c r="B33" s="59" t="s">
        <v>218</v>
      </c>
      <c r="C33" s="60" t="s">
        <v>50</v>
      </c>
    </row>
    <row r="34" spans="1:3" s="46" customFormat="1" ht="12.75">
      <c r="A34" s="50"/>
      <c r="B34" s="59" t="s">
        <v>219</v>
      </c>
      <c r="C34" s="60" t="s">
        <v>51</v>
      </c>
    </row>
    <row r="35" spans="1:3" s="46" customFormat="1" ht="12.75">
      <c r="A35" s="50"/>
      <c r="B35" s="59" t="s">
        <v>220</v>
      </c>
      <c r="C35" s="60" t="s">
        <v>36</v>
      </c>
    </row>
    <row r="36" spans="1:3" s="46" customFormat="1" ht="12.75">
      <c r="A36" s="50"/>
      <c r="B36" s="59" t="s">
        <v>221</v>
      </c>
      <c r="C36" s="60" t="s">
        <v>37</v>
      </c>
    </row>
    <row r="37" spans="1:3" s="46" customFormat="1" ht="12.75">
      <c r="A37" s="50"/>
      <c r="B37" s="59" t="s">
        <v>222</v>
      </c>
      <c r="C37" s="60" t="s">
        <v>233</v>
      </c>
    </row>
    <row r="38" spans="1:3" s="46" customFormat="1" ht="12.75">
      <c r="A38" s="50"/>
      <c r="B38" s="59" t="s">
        <v>223</v>
      </c>
      <c r="C38" s="60" t="s">
        <v>38</v>
      </c>
    </row>
    <row r="39" spans="1:3" s="46" customFormat="1" ht="12.75">
      <c r="A39" s="50"/>
      <c r="B39" s="59" t="s">
        <v>224</v>
      </c>
      <c r="C39" s="60" t="s">
        <v>215</v>
      </c>
    </row>
    <row r="40" spans="1:3" s="46" customFormat="1" ht="12.75">
      <c r="A40" s="50"/>
      <c r="B40" s="59" t="s">
        <v>225</v>
      </c>
      <c r="C40" s="60" t="s">
        <v>39</v>
      </c>
    </row>
    <row r="41" spans="1:3" s="46" customFormat="1" ht="12.75">
      <c r="A41" s="50"/>
      <c r="B41" s="59" t="s">
        <v>226</v>
      </c>
      <c r="C41" s="60" t="s">
        <v>40</v>
      </c>
    </row>
    <row r="42" spans="1:3" s="46" customFormat="1" ht="12.75">
      <c r="A42" s="50"/>
      <c r="B42" s="59" t="s">
        <v>227</v>
      </c>
      <c r="C42" s="60" t="s">
        <v>41</v>
      </c>
    </row>
    <row r="43" spans="1:3" s="46" customFormat="1" ht="12.75">
      <c r="A43" s="50"/>
      <c r="B43" s="59" t="s">
        <v>228</v>
      </c>
      <c r="C43" s="60" t="s">
        <v>43</v>
      </c>
    </row>
    <row r="44" spans="1:3" s="46" customFormat="1" ht="12.75">
      <c r="A44" s="50"/>
      <c r="B44" s="59" t="s">
        <v>229</v>
      </c>
      <c r="C44" s="60" t="s">
        <v>42</v>
      </c>
    </row>
    <row r="45" spans="1:3" s="46" customFormat="1" ht="12.75">
      <c r="A45" s="50"/>
      <c r="B45" s="59" t="s">
        <v>230</v>
      </c>
      <c r="C45" s="60" t="s">
        <v>211</v>
      </c>
    </row>
    <row r="46" spans="1:3" s="46" customFormat="1" ht="12.75">
      <c r="A46" s="50"/>
      <c r="B46" s="59" t="s">
        <v>231</v>
      </c>
      <c r="C46" s="60" t="s">
        <v>44</v>
      </c>
    </row>
    <row r="47" spans="1:3" s="46" customFormat="1" ht="12.75">
      <c r="A47" s="50"/>
      <c r="B47" s="59" t="s">
        <v>232</v>
      </c>
      <c r="C47" s="60" t="s">
        <v>35</v>
      </c>
    </row>
    <row r="48" spans="1:3" s="46" customFormat="1" ht="12.75">
      <c r="A48" s="50"/>
      <c r="B48" s="59" t="s">
        <v>234</v>
      </c>
      <c r="C48" s="60" t="s">
        <v>46</v>
      </c>
    </row>
    <row r="49" spans="1:3" s="46" customFormat="1" ht="12.75">
      <c r="A49" s="50"/>
      <c r="B49" s="59" t="s">
        <v>235</v>
      </c>
      <c r="C49" s="60" t="s">
        <v>47</v>
      </c>
    </row>
    <row r="50" spans="1:3" s="46" customFormat="1" ht="13.5" customHeight="1">
      <c r="A50" s="50"/>
      <c r="B50" s="59" t="s">
        <v>236</v>
      </c>
      <c r="C50" s="60" t="s">
        <v>48</v>
      </c>
    </row>
    <row r="51" spans="1:3" s="46" customFormat="1" ht="12.75">
      <c r="A51" s="50"/>
      <c r="B51" s="57">
        <v>5</v>
      </c>
      <c r="C51" s="61" t="s">
        <v>237</v>
      </c>
    </row>
    <row r="52" spans="1:3" s="46" customFormat="1" ht="12.75">
      <c r="A52" s="50"/>
      <c r="B52" s="59" t="s">
        <v>75</v>
      </c>
      <c r="C52" s="60" t="s">
        <v>238</v>
      </c>
    </row>
    <row r="53" spans="1:3" s="46" customFormat="1" ht="12.75">
      <c r="A53" s="50"/>
      <c r="B53" s="59" t="s">
        <v>76</v>
      </c>
      <c r="C53" s="60" t="s">
        <v>239</v>
      </c>
    </row>
    <row r="54" spans="1:3" s="46" customFormat="1" ht="12.75">
      <c r="A54" s="50"/>
      <c r="B54" s="59" t="s">
        <v>77</v>
      </c>
      <c r="C54" s="60" t="s">
        <v>240</v>
      </c>
    </row>
    <row r="55" spans="1:3" s="46" customFormat="1" ht="12.75">
      <c r="A55" s="50"/>
      <c r="B55" s="59" t="s">
        <v>78</v>
      </c>
      <c r="C55" s="60" t="s">
        <v>241</v>
      </c>
    </row>
    <row r="56" spans="1:3" s="46" customFormat="1" ht="12.75">
      <c r="A56" s="50"/>
      <c r="B56" s="59" t="s">
        <v>79</v>
      </c>
      <c r="C56" s="60" t="s">
        <v>242</v>
      </c>
    </row>
    <row r="57" spans="1:3" s="46" customFormat="1" ht="12.75">
      <c r="A57" s="50"/>
      <c r="B57" s="57">
        <v>6</v>
      </c>
      <c r="C57" s="61" t="s">
        <v>247</v>
      </c>
    </row>
    <row r="58" spans="1:3" s="46" customFormat="1" ht="12.75">
      <c r="A58" s="50"/>
      <c r="B58" s="59" t="s">
        <v>84</v>
      </c>
      <c r="C58" s="60" t="s">
        <v>244</v>
      </c>
    </row>
    <row r="59" spans="1:3" s="46" customFormat="1" ht="12.75">
      <c r="A59" s="50"/>
      <c r="B59" s="59" t="s">
        <v>85</v>
      </c>
      <c r="C59" s="60" t="s">
        <v>22</v>
      </c>
    </row>
    <row r="60" spans="1:3" s="46" customFormat="1" ht="12.75">
      <c r="A60" s="50"/>
      <c r="B60" s="59" t="s">
        <v>86</v>
      </c>
      <c r="C60" s="60" t="s">
        <v>245</v>
      </c>
    </row>
    <row r="61" spans="1:3" s="46" customFormat="1" ht="12.75">
      <c r="A61" s="50"/>
      <c r="B61" s="59" t="s">
        <v>87</v>
      </c>
      <c r="C61" s="60" t="s">
        <v>246</v>
      </c>
    </row>
    <row r="62" spans="1:3" s="46" customFormat="1" ht="12.75">
      <c r="A62" s="50"/>
      <c r="B62" s="57">
        <v>7</v>
      </c>
      <c r="C62" s="61" t="s">
        <v>249</v>
      </c>
    </row>
    <row r="63" spans="1:3" s="46" customFormat="1" ht="12.75">
      <c r="A63" s="50"/>
      <c r="B63" s="59" t="s">
        <v>268</v>
      </c>
      <c r="C63" s="60" t="s">
        <v>253</v>
      </c>
    </row>
    <row r="64" spans="1:3" s="46" customFormat="1" ht="12.75">
      <c r="A64" s="50"/>
      <c r="B64" s="59" t="s">
        <v>269</v>
      </c>
      <c r="C64" s="60" t="s">
        <v>254</v>
      </c>
    </row>
    <row r="65" spans="1:3" s="46" customFormat="1" ht="12.75">
      <c r="A65" s="50"/>
      <c r="B65" s="59" t="s">
        <v>281</v>
      </c>
      <c r="C65" s="60" t="s">
        <v>262</v>
      </c>
    </row>
    <row r="66" spans="1:3" s="46" customFormat="1" ht="12.75">
      <c r="A66" s="50"/>
      <c r="B66" s="59" t="s">
        <v>282</v>
      </c>
      <c r="C66" s="60" t="s">
        <v>265</v>
      </c>
    </row>
    <row r="67" spans="1:3" s="46" customFormat="1" ht="12.75">
      <c r="A67" s="50"/>
      <c r="B67" s="59" t="s">
        <v>283</v>
      </c>
      <c r="C67" s="60" t="s">
        <v>266</v>
      </c>
    </row>
    <row r="68" spans="1:3" s="46" customFormat="1" ht="12.75">
      <c r="A68" s="50"/>
      <c r="B68" s="59" t="s">
        <v>284</v>
      </c>
      <c r="C68" s="60" t="s">
        <v>258</v>
      </c>
    </row>
    <row r="69" spans="1:3" s="46" customFormat="1" ht="12.75">
      <c r="A69" s="50"/>
      <c r="B69" s="59" t="s">
        <v>285</v>
      </c>
      <c r="C69" s="60" t="s">
        <v>250</v>
      </c>
    </row>
    <row r="70" spans="1:3" s="46" customFormat="1" ht="12.75">
      <c r="A70" s="50"/>
      <c r="B70" s="59" t="s">
        <v>286</v>
      </c>
      <c r="C70" s="60" t="s">
        <v>251</v>
      </c>
    </row>
    <row r="71" spans="1:3" s="46" customFormat="1" ht="12.75">
      <c r="A71" s="50"/>
      <c r="B71" s="59" t="s">
        <v>287</v>
      </c>
      <c r="C71" s="60" t="s">
        <v>259</v>
      </c>
    </row>
    <row r="72" spans="1:3" s="46" customFormat="1" ht="12.75">
      <c r="A72" s="50"/>
      <c r="B72" s="59" t="s">
        <v>288</v>
      </c>
      <c r="C72" s="60" t="s">
        <v>255</v>
      </c>
    </row>
    <row r="73" spans="1:3" s="46" customFormat="1" ht="12.75">
      <c r="A73" s="50"/>
      <c r="B73" s="59" t="s">
        <v>289</v>
      </c>
      <c r="C73" s="60" t="s">
        <v>256</v>
      </c>
    </row>
    <row r="74" spans="1:3" s="46" customFormat="1" ht="12.75">
      <c r="A74" s="50"/>
      <c r="B74" s="59" t="s">
        <v>302</v>
      </c>
      <c r="C74" s="60" t="s">
        <v>252</v>
      </c>
    </row>
    <row r="75" spans="1:3" s="46" customFormat="1" ht="12.75">
      <c r="A75" s="50"/>
      <c r="B75" s="59" t="s">
        <v>303</v>
      </c>
      <c r="C75" s="60" t="s">
        <v>257</v>
      </c>
    </row>
    <row r="76" spans="1:3" ht="12.75">
      <c r="A76" s="52"/>
      <c r="B76" s="59" t="s">
        <v>304</v>
      </c>
      <c r="C76" s="60" t="s">
        <v>260</v>
      </c>
    </row>
    <row r="77" spans="1:3" ht="12.75">
      <c r="A77" s="52"/>
      <c r="B77" s="59" t="s">
        <v>305</v>
      </c>
      <c r="C77" s="60" t="s">
        <v>261</v>
      </c>
    </row>
    <row r="78" spans="1:3" ht="12.75">
      <c r="A78" s="52"/>
      <c r="B78" s="59" t="s">
        <v>306</v>
      </c>
      <c r="C78" s="60" t="s">
        <v>263</v>
      </c>
    </row>
    <row r="79" spans="1:3" ht="12.75">
      <c r="A79" s="52"/>
      <c r="B79" s="59" t="s">
        <v>307</v>
      </c>
      <c r="C79" s="60" t="s">
        <v>264</v>
      </c>
    </row>
    <row r="80" spans="1:3" ht="12.75">
      <c r="A80" s="52"/>
      <c r="B80" s="57">
        <v>8</v>
      </c>
      <c r="C80" s="61" t="s">
        <v>267</v>
      </c>
    </row>
    <row r="81" spans="1:3" ht="12.75">
      <c r="A81" s="52"/>
      <c r="B81" s="59" t="s">
        <v>291</v>
      </c>
      <c r="C81" s="60" t="s">
        <v>276</v>
      </c>
    </row>
    <row r="82" spans="1:3" ht="12.75">
      <c r="A82" s="52"/>
      <c r="B82" s="59" t="s">
        <v>292</v>
      </c>
      <c r="C82" s="60" t="s">
        <v>277</v>
      </c>
    </row>
    <row r="83" spans="1:3" ht="12.75">
      <c r="A83" s="52"/>
      <c r="B83" s="59" t="s">
        <v>293</v>
      </c>
      <c r="C83" s="60" t="s">
        <v>270</v>
      </c>
    </row>
    <row r="84" spans="1:3" ht="12.75">
      <c r="A84" s="52"/>
      <c r="B84" s="59" t="s">
        <v>294</v>
      </c>
      <c r="C84" s="60" t="s">
        <v>271</v>
      </c>
    </row>
    <row r="85" spans="1:3" ht="12.75">
      <c r="A85" s="52"/>
      <c r="B85" s="59" t="s">
        <v>295</v>
      </c>
      <c r="C85" s="60" t="s">
        <v>272</v>
      </c>
    </row>
    <row r="86" spans="1:3" ht="12.75">
      <c r="A86" s="52"/>
      <c r="B86" s="59" t="s">
        <v>296</v>
      </c>
      <c r="C86" s="60" t="s">
        <v>273</v>
      </c>
    </row>
    <row r="87" spans="1:3" ht="12.75">
      <c r="A87" s="52"/>
      <c r="B87" s="59" t="s">
        <v>297</v>
      </c>
      <c r="C87" s="60" t="s">
        <v>274</v>
      </c>
    </row>
    <row r="88" spans="1:3" ht="12.75">
      <c r="A88" s="52"/>
      <c r="B88" s="59" t="s">
        <v>298</v>
      </c>
      <c r="C88" s="60" t="s">
        <v>280</v>
      </c>
    </row>
    <row r="89" spans="1:3" ht="12.75">
      <c r="A89" s="52"/>
      <c r="B89" s="59" t="s">
        <v>299</v>
      </c>
      <c r="C89" s="60" t="s">
        <v>279</v>
      </c>
    </row>
    <row r="90" spans="1:3" ht="12.75">
      <c r="A90" s="52"/>
      <c r="B90" s="59" t="s">
        <v>300</v>
      </c>
      <c r="C90" s="60" t="s">
        <v>275</v>
      </c>
    </row>
    <row r="91" spans="1:3" ht="12.75">
      <c r="A91" s="52"/>
      <c r="B91" s="59" t="s">
        <v>301</v>
      </c>
      <c r="C91" s="60" t="s">
        <v>278</v>
      </c>
    </row>
    <row r="92" spans="1:3" ht="12.75">
      <c r="A92" s="52"/>
      <c r="B92" s="57">
        <v>9</v>
      </c>
      <c r="C92" s="61" t="s">
        <v>290</v>
      </c>
    </row>
    <row r="93" spans="1:3" ht="12.75">
      <c r="A93" s="52"/>
      <c r="B93" s="53" t="s">
        <v>308</v>
      </c>
      <c r="C93" s="49" t="s">
        <v>323</v>
      </c>
    </row>
    <row r="94" spans="1:3" ht="12.75">
      <c r="A94" s="52"/>
      <c r="B94" s="53" t="s">
        <v>309</v>
      </c>
      <c r="C94" s="49"/>
    </row>
    <row r="95" spans="1:3" ht="12.75">
      <c r="A95" s="52"/>
      <c r="B95" s="53" t="s">
        <v>310</v>
      </c>
      <c r="C95" s="49"/>
    </row>
    <row r="96" spans="1:3" ht="12.75">
      <c r="A96" s="52"/>
      <c r="B96" s="53" t="s">
        <v>311</v>
      </c>
      <c r="C96" s="49"/>
    </row>
    <row r="97" spans="1:3" ht="12.75">
      <c r="A97" s="52"/>
      <c r="B97" s="53" t="s">
        <v>312</v>
      </c>
      <c r="C97" s="49"/>
    </row>
    <row r="98" spans="1:3" ht="12.75">
      <c r="A98" s="52"/>
      <c r="B98" s="53" t="s">
        <v>313</v>
      </c>
      <c r="C98" s="49"/>
    </row>
    <row r="99" spans="1:3" ht="12.75">
      <c r="A99" s="52"/>
      <c r="B99" s="53" t="s">
        <v>314</v>
      </c>
      <c r="C99" s="49"/>
    </row>
    <row r="100" spans="1:3" ht="12.75">
      <c r="A100" s="52"/>
      <c r="B100" s="53" t="s">
        <v>315</v>
      </c>
      <c r="C100" s="49"/>
    </row>
    <row r="101" spans="1:3" ht="12.75" hidden="1">
      <c r="A101" s="52"/>
      <c r="B101" s="48" t="s">
        <v>88</v>
      </c>
      <c r="C101" s="54"/>
    </row>
    <row r="102" spans="2:3" ht="12.75" hidden="1">
      <c r="B102" s="48" t="s">
        <v>89</v>
      </c>
      <c r="C102" s="54"/>
    </row>
    <row r="103" spans="2:3" ht="12.75" hidden="1">
      <c r="B103" s="48" t="s">
        <v>90</v>
      </c>
      <c r="C103" s="54"/>
    </row>
    <row r="104" spans="2:3" ht="12.75" hidden="1">
      <c r="B104" s="48" t="s">
        <v>91</v>
      </c>
      <c r="C104" s="54"/>
    </row>
    <row r="105" spans="2:3" ht="12.75" hidden="1">
      <c r="B105" s="48" t="s">
        <v>92</v>
      </c>
      <c r="C105" s="54"/>
    </row>
    <row r="106" spans="2:3" ht="12.75" hidden="1">
      <c r="B106" s="48" t="s">
        <v>93</v>
      </c>
      <c r="C106" s="54"/>
    </row>
    <row r="107" spans="2:3" ht="12.75" hidden="1">
      <c r="B107" s="48" t="s">
        <v>94</v>
      </c>
      <c r="C107" s="54"/>
    </row>
    <row r="108" spans="2:3" ht="12.75" hidden="1">
      <c r="B108" s="48" t="s">
        <v>95</v>
      </c>
      <c r="C108" s="54"/>
    </row>
    <row r="109" spans="2:3" ht="12.75" hidden="1">
      <c r="B109" s="48" t="s">
        <v>96</v>
      </c>
      <c r="C109" s="54"/>
    </row>
    <row r="110" spans="2:3" ht="12.75" hidden="1">
      <c r="B110" s="48" t="s">
        <v>97</v>
      </c>
      <c r="C110" s="54"/>
    </row>
    <row r="111" spans="2:3" ht="12.75" hidden="1">
      <c r="B111" s="48" t="s">
        <v>98</v>
      </c>
      <c r="C111" s="54"/>
    </row>
    <row r="112" spans="2:3" ht="12.75" hidden="1">
      <c r="B112" s="48" t="s">
        <v>99</v>
      </c>
      <c r="C112" s="54"/>
    </row>
    <row r="113" spans="2:3" ht="12.75" hidden="1">
      <c r="B113" s="48" t="s">
        <v>100</v>
      </c>
      <c r="C113" s="54"/>
    </row>
    <row r="114" spans="2:3" ht="12.75" hidden="1">
      <c r="B114" s="48" t="s">
        <v>101</v>
      </c>
      <c r="C114" s="54"/>
    </row>
    <row r="115" spans="2:3" ht="12.75" hidden="1">
      <c r="B115" s="48" t="s">
        <v>102</v>
      </c>
      <c r="C115" s="54"/>
    </row>
    <row r="116" spans="2:3" ht="12.75" hidden="1">
      <c r="B116" s="48" t="s">
        <v>103</v>
      </c>
      <c r="C116" s="54"/>
    </row>
    <row r="117" spans="2:3" ht="12.75" hidden="1">
      <c r="B117" s="48" t="s">
        <v>104</v>
      </c>
      <c r="C117" s="54"/>
    </row>
    <row r="118" spans="2:3" ht="12.75" hidden="1">
      <c r="B118" s="48" t="s">
        <v>105</v>
      </c>
      <c r="C118" s="54"/>
    </row>
    <row r="119" spans="2:3" ht="12.75" hidden="1">
      <c r="B119" s="48" t="s">
        <v>106</v>
      </c>
      <c r="C119" s="54"/>
    </row>
    <row r="120" spans="2:3" ht="12.75" hidden="1">
      <c r="B120" s="48" t="s">
        <v>107</v>
      </c>
      <c r="C120" s="54"/>
    </row>
    <row r="121" spans="2:3" ht="12.75" hidden="1">
      <c r="B121" s="48" t="s">
        <v>108</v>
      </c>
      <c r="C121" s="54"/>
    </row>
    <row r="122" spans="2:3" ht="12.75" hidden="1">
      <c r="B122" s="48" t="s">
        <v>109</v>
      </c>
      <c r="C122" s="54"/>
    </row>
    <row r="123" spans="2:3" ht="12.75" hidden="1">
      <c r="B123" s="48" t="s">
        <v>110</v>
      </c>
      <c r="C123" s="54"/>
    </row>
    <row r="124" spans="2:3" ht="12.75" hidden="1">
      <c r="B124" s="48" t="s">
        <v>111</v>
      </c>
      <c r="C124" s="54"/>
    </row>
    <row r="125" spans="2:3" ht="12.75" hidden="1">
      <c r="B125" s="48" t="s">
        <v>112</v>
      </c>
      <c r="C125" s="54"/>
    </row>
    <row r="126" spans="2:3" ht="12.75" hidden="1">
      <c r="B126" s="48" t="s">
        <v>113</v>
      </c>
      <c r="C126" s="54"/>
    </row>
    <row r="127" spans="2:3" ht="12.75" hidden="1">
      <c r="B127" s="48" t="s">
        <v>114</v>
      </c>
      <c r="C127" s="54"/>
    </row>
    <row r="128" spans="2:3" ht="12.75" hidden="1">
      <c r="B128" s="48" t="s">
        <v>115</v>
      </c>
      <c r="C128" s="54"/>
    </row>
    <row r="129" spans="2:3" ht="12.75" hidden="1">
      <c r="B129" s="48" t="s">
        <v>116</v>
      </c>
      <c r="C129" s="54"/>
    </row>
    <row r="130" spans="2:3" ht="12.75" hidden="1">
      <c r="B130" s="48" t="s">
        <v>117</v>
      </c>
      <c r="C130" s="54"/>
    </row>
    <row r="131" spans="2:3" ht="12.75" hidden="1">
      <c r="B131" s="48" t="s">
        <v>118</v>
      </c>
      <c r="C131" s="54"/>
    </row>
    <row r="132" spans="2:3" ht="12.75" hidden="1">
      <c r="B132" s="48" t="s">
        <v>119</v>
      </c>
      <c r="C132" s="54"/>
    </row>
    <row r="133" spans="2:3" ht="12.75" hidden="1">
      <c r="B133" s="48" t="s">
        <v>120</v>
      </c>
      <c r="C133" s="54"/>
    </row>
    <row r="134" spans="2:3" ht="12.75" hidden="1">
      <c r="B134" s="48" t="s">
        <v>121</v>
      </c>
      <c r="C134" s="54"/>
    </row>
    <row r="135" spans="2:3" ht="12.75" hidden="1">
      <c r="B135" s="48" t="s">
        <v>122</v>
      </c>
      <c r="C135" s="54"/>
    </row>
    <row r="136" spans="2:3" ht="12.75" hidden="1">
      <c r="B136" s="48" t="s">
        <v>123</v>
      </c>
      <c r="C136" s="54"/>
    </row>
    <row r="137" spans="2:3" ht="12.75" hidden="1">
      <c r="B137" s="48" t="s">
        <v>124</v>
      </c>
      <c r="C137" s="54"/>
    </row>
    <row r="138" spans="2:3" ht="12.75" hidden="1">
      <c r="B138" s="48" t="s">
        <v>125</v>
      </c>
      <c r="C138" s="54"/>
    </row>
    <row r="139" spans="2:3" ht="12.75" hidden="1">
      <c r="B139" s="48" t="s">
        <v>126</v>
      </c>
      <c r="C139" s="54"/>
    </row>
    <row r="140" spans="2:3" ht="12.75" hidden="1">
      <c r="B140" s="48" t="s">
        <v>127</v>
      </c>
      <c r="C140" s="54"/>
    </row>
    <row r="141" spans="2:3" ht="12.75" hidden="1">
      <c r="B141" s="48" t="s">
        <v>128</v>
      </c>
      <c r="C141" s="54"/>
    </row>
    <row r="142" spans="2:3" ht="12.75" hidden="1">
      <c r="B142" s="48" t="s">
        <v>129</v>
      </c>
      <c r="C142" s="54"/>
    </row>
    <row r="143" spans="2:3" ht="12.75" hidden="1">
      <c r="B143" s="48" t="s">
        <v>130</v>
      </c>
      <c r="C143" s="54"/>
    </row>
    <row r="144" spans="2:3" ht="12.75" hidden="1">
      <c r="B144" s="48" t="s">
        <v>131</v>
      </c>
      <c r="C144" s="54"/>
    </row>
    <row r="145" spans="2:3" ht="12.75" hidden="1">
      <c r="B145" s="48" t="s">
        <v>132</v>
      </c>
      <c r="C145" s="55"/>
    </row>
    <row r="146" spans="2:3" ht="12.75" hidden="1">
      <c r="B146" s="48" t="s">
        <v>133</v>
      </c>
      <c r="C146" s="55"/>
    </row>
    <row r="147" spans="2:3" ht="12.75" hidden="1">
      <c r="B147" s="48" t="s">
        <v>134</v>
      </c>
      <c r="C147" s="55"/>
    </row>
    <row r="148" spans="2:3" ht="12.75" hidden="1">
      <c r="B148" s="48" t="s">
        <v>135</v>
      </c>
      <c r="C148" s="55"/>
    </row>
    <row r="149" spans="2:3" ht="12.75" hidden="1">
      <c r="B149" s="48" t="s">
        <v>136</v>
      </c>
      <c r="C149" s="55"/>
    </row>
    <row r="150" spans="2:3" ht="12.75" hidden="1">
      <c r="B150" s="48" t="s">
        <v>137</v>
      </c>
      <c r="C150" s="55"/>
    </row>
    <row r="151" spans="2:3" ht="12.75" hidden="1">
      <c r="B151" s="48" t="s">
        <v>138</v>
      </c>
      <c r="C151" s="55"/>
    </row>
    <row r="152" spans="2:3" ht="12.75" hidden="1">
      <c r="B152" s="48" t="s">
        <v>139</v>
      </c>
      <c r="C152" s="55"/>
    </row>
    <row r="153" spans="2:3" ht="12.75" hidden="1">
      <c r="B153" s="48" t="s">
        <v>140</v>
      </c>
      <c r="C153" s="55"/>
    </row>
    <row r="154" spans="2:3" ht="12.75" hidden="1">
      <c r="B154" s="48" t="s">
        <v>141</v>
      </c>
      <c r="C154" s="55"/>
    </row>
    <row r="155" spans="2:3" ht="12.75" hidden="1">
      <c r="B155" s="48" t="s">
        <v>142</v>
      </c>
      <c r="C155" s="55"/>
    </row>
    <row r="156" spans="2:3" ht="12.75" hidden="1">
      <c r="B156" s="48" t="s">
        <v>143</v>
      </c>
      <c r="C156" s="55"/>
    </row>
    <row r="157" spans="2:3" ht="12.75" hidden="1">
      <c r="B157" s="48" t="s">
        <v>144</v>
      </c>
      <c r="C157" s="55"/>
    </row>
    <row r="158" spans="2:3" ht="12.75" hidden="1">
      <c r="B158" s="48" t="s">
        <v>145</v>
      </c>
      <c r="C158" s="55"/>
    </row>
    <row r="159" spans="2:3" ht="12.75" hidden="1">
      <c r="B159" s="48" t="s">
        <v>146</v>
      </c>
      <c r="C159" s="55"/>
    </row>
    <row r="160" spans="2:3" ht="12.75" hidden="1">
      <c r="B160" s="48" t="s">
        <v>147</v>
      </c>
      <c r="C160" s="55"/>
    </row>
    <row r="161" spans="2:3" ht="12.75" hidden="1">
      <c r="B161" s="48" t="s">
        <v>148</v>
      </c>
      <c r="C161" s="55"/>
    </row>
    <row r="162" spans="2:3" ht="12.75" hidden="1">
      <c r="B162" s="48" t="s">
        <v>149</v>
      </c>
      <c r="C162" s="55"/>
    </row>
    <row r="163" spans="2:3" ht="12.75" hidden="1">
      <c r="B163" s="48" t="s">
        <v>150</v>
      </c>
      <c r="C163" s="55"/>
    </row>
    <row r="164" spans="2:3" ht="12.75" hidden="1">
      <c r="B164" s="48" t="s">
        <v>151</v>
      </c>
      <c r="C164" s="55"/>
    </row>
    <row r="165" spans="2:3" ht="12.75" hidden="1">
      <c r="B165" s="48" t="s">
        <v>152</v>
      </c>
      <c r="C165" s="55"/>
    </row>
    <row r="166" spans="2:3" ht="12.75" hidden="1">
      <c r="B166" s="48" t="s">
        <v>153</v>
      </c>
      <c r="C166" s="55"/>
    </row>
    <row r="167" spans="2:3" ht="12.75" hidden="1">
      <c r="B167" s="48" t="s">
        <v>154</v>
      </c>
      <c r="C167" s="55"/>
    </row>
    <row r="168" spans="2:3" ht="12.75" hidden="1">
      <c r="B168" s="48" t="s">
        <v>155</v>
      </c>
      <c r="C168" s="55"/>
    </row>
    <row r="169" spans="2:3" ht="12.75" hidden="1">
      <c r="B169" s="48" t="s">
        <v>156</v>
      </c>
      <c r="C169" s="55"/>
    </row>
    <row r="170" spans="2:3" ht="12.75" hidden="1">
      <c r="B170" s="48" t="s">
        <v>157</v>
      </c>
      <c r="C170" s="55"/>
    </row>
    <row r="171" spans="2:3" ht="12.75" hidden="1">
      <c r="B171" s="48" t="s">
        <v>158</v>
      </c>
      <c r="C171" s="55"/>
    </row>
    <row r="172" spans="2:3" ht="12.75" hidden="1">
      <c r="B172" s="48" t="s">
        <v>159</v>
      </c>
      <c r="C172" s="55"/>
    </row>
    <row r="173" spans="2:3" ht="25.5" hidden="1">
      <c r="B173" s="48" t="s">
        <v>160</v>
      </c>
      <c r="C173" s="55"/>
    </row>
    <row r="174" spans="2:3" ht="25.5" hidden="1">
      <c r="B174" s="48" t="s">
        <v>161</v>
      </c>
      <c r="C174" s="55"/>
    </row>
    <row r="175" spans="2:3" ht="25.5" hidden="1">
      <c r="B175" s="48" t="s">
        <v>162</v>
      </c>
      <c r="C175" s="55"/>
    </row>
    <row r="176" spans="2:3" ht="25.5" hidden="1">
      <c r="B176" s="48" t="s">
        <v>163</v>
      </c>
      <c r="C176" s="55"/>
    </row>
    <row r="177" spans="2:3" ht="25.5" hidden="1">
      <c r="B177" s="48" t="s">
        <v>164</v>
      </c>
      <c r="C177" s="55"/>
    </row>
    <row r="178" spans="2:3" ht="25.5" hidden="1">
      <c r="B178" s="48" t="s">
        <v>165</v>
      </c>
      <c r="C178" s="55"/>
    </row>
    <row r="179" spans="2:3" ht="25.5" hidden="1">
      <c r="B179" s="48" t="s">
        <v>166</v>
      </c>
      <c r="C179" s="55"/>
    </row>
    <row r="180" spans="2:3" ht="25.5" hidden="1">
      <c r="B180" s="48" t="s">
        <v>167</v>
      </c>
      <c r="C180" s="55"/>
    </row>
    <row r="181" spans="2:3" ht="25.5" hidden="1">
      <c r="B181" s="48" t="s">
        <v>168</v>
      </c>
      <c r="C181" s="55"/>
    </row>
    <row r="182" spans="2:3" ht="25.5" hidden="1">
      <c r="B182" s="48" t="s">
        <v>169</v>
      </c>
      <c r="C182" s="55"/>
    </row>
    <row r="183" spans="2:3" ht="25.5" hidden="1">
      <c r="B183" s="48" t="s">
        <v>170</v>
      </c>
      <c r="C183" s="55"/>
    </row>
    <row r="184" spans="2:3" ht="25.5" hidden="1">
      <c r="B184" s="48" t="s">
        <v>171</v>
      </c>
      <c r="C184" s="55"/>
    </row>
    <row r="185" spans="2:3" ht="25.5" hidden="1">
      <c r="B185" s="48" t="s">
        <v>172</v>
      </c>
      <c r="C185" s="55"/>
    </row>
    <row r="186" spans="2:3" ht="25.5" hidden="1">
      <c r="B186" s="48" t="s">
        <v>173</v>
      </c>
      <c r="C186" s="55"/>
    </row>
    <row r="187" spans="2:3" ht="25.5" hidden="1">
      <c r="B187" s="48" t="s">
        <v>174</v>
      </c>
      <c r="C187" s="55"/>
    </row>
    <row r="188" spans="2:3" ht="25.5" hidden="1">
      <c r="B188" s="48" t="s">
        <v>175</v>
      </c>
      <c r="C188" s="55"/>
    </row>
    <row r="189" spans="2:3" ht="25.5" hidden="1">
      <c r="B189" s="48" t="s">
        <v>176</v>
      </c>
      <c r="C189" s="55"/>
    </row>
    <row r="190" spans="2:3" ht="25.5" hidden="1">
      <c r="B190" s="48" t="s">
        <v>177</v>
      </c>
      <c r="C190" s="55"/>
    </row>
    <row r="191" spans="2:3" ht="25.5" hidden="1">
      <c r="B191" s="48" t="s">
        <v>178</v>
      </c>
      <c r="C191" s="55"/>
    </row>
    <row r="192" spans="2:3" ht="25.5" hidden="1">
      <c r="B192" s="48" t="s">
        <v>179</v>
      </c>
      <c r="C192" s="55"/>
    </row>
    <row r="193" spans="2:3" ht="25.5" hidden="1">
      <c r="B193" s="48" t="s">
        <v>180</v>
      </c>
      <c r="C193" s="55"/>
    </row>
    <row r="194" spans="2:3" ht="25.5" hidden="1">
      <c r="B194" s="48" t="s">
        <v>181</v>
      </c>
      <c r="C194" s="55"/>
    </row>
    <row r="195" spans="2:3" ht="25.5" hidden="1">
      <c r="B195" s="48" t="s">
        <v>182</v>
      </c>
      <c r="C195" s="55"/>
    </row>
    <row r="196" spans="2:3" ht="25.5" hidden="1">
      <c r="B196" s="48" t="s">
        <v>183</v>
      </c>
      <c r="C196" s="55"/>
    </row>
    <row r="197" spans="2:3" ht="25.5" hidden="1">
      <c r="B197" s="48" t="s">
        <v>184</v>
      </c>
      <c r="C197" s="55"/>
    </row>
    <row r="198" spans="2:3" ht="25.5" hidden="1">
      <c r="B198" s="48" t="s">
        <v>185</v>
      </c>
      <c r="C198" s="55"/>
    </row>
    <row r="199" spans="2:3" ht="25.5" hidden="1">
      <c r="B199" s="48" t="s">
        <v>186</v>
      </c>
      <c r="C199" s="55"/>
    </row>
    <row r="200" spans="2:3" ht="25.5" hidden="1">
      <c r="B200" s="48" t="s">
        <v>187</v>
      </c>
      <c r="C200" s="55"/>
    </row>
  </sheetData>
  <sheetProtection password="C763" sheet="1"/>
  <mergeCells count="3">
    <mergeCell ref="B2:C2"/>
    <mergeCell ref="C4:C5"/>
    <mergeCell ref="B4:B5"/>
  </mergeCells>
  <printOptions/>
  <pageMargins left="0.7" right="0.31"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dimension ref="A2:H30"/>
  <sheetViews>
    <sheetView view="pageBreakPreview" zoomScaleSheetLayoutView="100" zoomScalePageLayoutView="0" workbookViewId="0" topLeftCell="A4">
      <selection activeCell="C9" sqref="C9"/>
    </sheetView>
  </sheetViews>
  <sheetFormatPr defaultColWidth="9.140625" defaultRowHeight="15"/>
  <cols>
    <col min="1" max="1" width="4.57421875" style="34" customWidth="1"/>
    <col min="2" max="2" width="67.28125" style="34" customWidth="1"/>
    <col min="3" max="3" width="11.28125" style="34" customWidth="1"/>
    <col min="4" max="4" width="16.28125" style="34" customWidth="1"/>
    <col min="5" max="5" width="15.28125" style="34" customWidth="1"/>
    <col min="6" max="6" width="15.140625" style="34" customWidth="1"/>
    <col min="7" max="7" width="9.140625" style="34" customWidth="1"/>
    <col min="8" max="8" width="11.140625" style="34" bestFit="1" customWidth="1"/>
    <col min="9" max="16384" width="9.140625" style="34" customWidth="1"/>
  </cols>
  <sheetData>
    <row r="1" ht="6" customHeight="1"/>
    <row r="2" spans="4:6" ht="18" customHeight="1">
      <c r="D2" s="372" t="str">
        <f>"Đơn vị: "&amp;Danhsach!A3</f>
        <v>Đơn vị: CỤC THI HÀNH ÁN DÂN SỰ 
TỈNH KON TUM</v>
      </c>
      <c r="E2" s="372"/>
      <c r="F2" s="372"/>
    </row>
    <row r="3" spans="1:6" ht="25.5" customHeight="1">
      <c r="A3" s="378" t="s">
        <v>80</v>
      </c>
      <c r="B3" s="378"/>
      <c r="C3" s="378"/>
      <c r="D3" s="378"/>
      <c r="E3" s="378"/>
      <c r="F3" s="378"/>
    </row>
    <row r="5" spans="1:6" ht="17.25" customHeight="1">
      <c r="A5" s="376" t="s">
        <v>20</v>
      </c>
      <c r="B5" s="376" t="s">
        <v>21</v>
      </c>
      <c r="C5" s="376" t="s">
        <v>81</v>
      </c>
      <c r="D5" s="376" t="s">
        <v>82</v>
      </c>
      <c r="E5" s="376"/>
      <c r="F5" s="376"/>
    </row>
    <row r="6" spans="1:6" ht="31.5" customHeight="1">
      <c r="A6" s="376"/>
      <c r="B6" s="376"/>
      <c r="C6" s="376"/>
      <c r="D6" s="35" t="s">
        <v>3</v>
      </c>
      <c r="E6" s="35" t="s">
        <v>4</v>
      </c>
      <c r="F6" s="35" t="s">
        <v>5</v>
      </c>
    </row>
    <row r="7" spans="1:6" ht="18" customHeight="1">
      <c r="A7" s="210" t="s">
        <v>0</v>
      </c>
      <c r="B7" s="211" t="s">
        <v>195</v>
      </c>
      <c r="C7" s="212">
        <f>C8+C9+C10+C11+C12+C13+C14+C15+C16</f>
        <v>167</v>
      </c>
      <c r="D7" s="212">
        <f>D8+D9+D10+D11+D12+D13+D14+D15+D16</f>
        <v>159760743.11699998</v>
      </c>
      <c r="E7" s="212">
        <f>E8+E9+E10+E11+E12+E13+E14+E15+E16</f>
        <v>31941851.117</v>
      </c>
      <c r="F7" s="212">
        <f>F8+F9+F10+F11+F12+F13+F14+F15+F16</f>
        <v>127818892</v>
      </c>
    </row>
    <row r="8" spans="1:6" ht="15">
      <c r="A8" s="36">
        <v>1</v>
      </c>
      <c r="B8" s="37" t="str">
        <f>Nguyen_nhan!B3</f>
        <v>1.Thi hành xong</v>
      </c>
      <c r="C8" s="38">
        <f>COUNTIF(Danhsach!$K$10:$K$314,TK_theonguyennhan!B8)</f>
        <v>40</v>
      </c>
      <c r="D8" s="38">
        <f>SUMIF(Danhsach!$K$10:$K$314,TK_theonguyennhan!$B8,Danhsach!H$10:H$314)</f>
        <v>18198720.117</v>
      </c>
      <c r="E8" s="38">
        <f>SUMIF(Danhsach!$K$10:$K$314,TK_theonguyennhan!$B8,Danhsach!I$10:I$314)</f>
        <v>18198720.117</v>
      </c>
      <c r="F8" s="38">
        <f>SUMIF(Danhsach!$K$10:$K$314,TK_theonguyennhan!$B8,Danhsach!J$10:J$314)</f>
        <v>0</v>
      </c>
    </row>
    <row r="9" spans="1:6" ht="15">
      <c r="A9" s="36">
        <v>2</v>
      </c>
      <c r="B9" s="37" t="str">
        <f>Nguyen_nhan!B4</f>
        <v>2.Đình chỉ thi hành án</v>
      </c>
      <c r="C9" s="38">
        <f>COUNTIF(Danhsach!$K$10:$K$314,TK_theonguyennhan!B9)</f>
        <v>7</v>
      </c>
      <c r="D9" s="38">
        <f>SUMIF(Danhsach!$K$10:$K$314,TK_theonguyennhan!$B9,Danhsach!H$10:H$314)</f>
        <v>1251595</v>
      </c>
      <c r="E9" s="38">
        <f>SUMIF(Danhsach!$K$10:$K$314,TK_theonguyennhan!$B9,Danhsach!I$10:I$314)</f>
        <v>1251595</v>
      </c>
      <c r="F9" s="38">
        <f>SUMIF(Danhsach!$K$10:$K$314,TK_theonguyennhan!$B9,Danhsach!J$10:J$314)</f>
        <v>0</v>
      </c>
    </row>
    <row r="10" spans="1:6" ht="15">
      <c r="A10" s="36">
        <v>3</v>
      </c>
      <c r="B10" s="37" t="str">
        <f>Nguyen_nhan!B5</f>
        <v>3.Đang thi hành</v>
      </c>
      <c r="C10" s="38">
        <f>COUNTIF(Danhsach!$K$10:$K$314,TK_theonguyennhan!B10)</f>
        <v>115</v>
      </c>
      <c r="D10" s="38">
        <f>SUMIF(Danhsach!$K$10:$K$314,TK_theonguyennhan!$B10,Danhsach!H$10:H$314)</f>
        <v>101228160</v>
      </c>
      <c r="E10" s="38">
        <f>SUMIF(Danhsach!$K$10:$K$314,TK_theonguyennhan!$B10,Danhsach!I$10:I$314)</f>
        <v>12491536</v>
      </c>
      <c r="F10" s="38">
        <f>SUMIF(Danhsach!$K$10:$K$314,TK_theonguyennhan!$B10,Danhsach!J$10:J$314)</f>
        <v>88736624</v>
      </c>
    </row>
    <row r="11" spans="1:6" ht="15">
      <c r="A11" s="36">
        <v>4</v>
      </c>
      <c r="B11" s="37" t="str">
        <f>Nguyen_nhan!B6</f>
        <v>4.Hoãn thi hành án</v>
      </c>
      <c r="C11" s="38">
        <f>COUNTIF(Danhsach!$K$10:$K$314,TK_theonguyennhan!B11)</f>
        <v>5</v>
      </c>
      <c r="D11" s="38">
        <f>SUMIF(Danhsach!$K$10:$K$314,TK_theonguyennhan!$B11,Danhsach!H$10:H$314)</f>
        <v>39082268</v>
      </c>
      <c r="E11" s="38">
        <f>SUMIF(Danhsach!$K$10:$K$314,TK_theonguyennhan!$B11,Danhsach!I$10:I$314)</f>
        <v>0</v>
      </c>
      <c r="F11" s="38">
        <f>SUMIF(Danhsach!$K$10:$K$314,TK_theonguyennhan!$B11,Danhsach!J$10:J$314)</f>
        <v>39082268</v>
      </c>
    </row>
    <row r="12" spans="1:8" ht="15">
      <c r="A12" s="36">
        <v>5</v>
      </c>
      <c r="B12" s="37" t="str">
        <f>Nguyen_nhan!B7</f>
        <v>5.Tạm đình chỉ thi hành án</v>
      </c>
      <c r="C12" s="38">
        <f>COUNTIF(Danhsach!$K$10:$K$314,TK_theonguyennhan!B12)</f>
        <v>0</v>
      </c>
      <c r="D12" s="38">
        <f>SUMIF(Danhsach!$K$10:$K$314,TK_theonguyennhan!$B12,Danhsach!H$10:H$314)</f>
        <v>0</v>
      </c>
      <c r="E12" s="38">
        <f>SUMIF(Danhsach!$K$10:$K$314,TK_theonguyennhan!$B12,Danhsach!I$10:I$314)</f>
        <v>0</v>
      </c>
      <c r="F12" s="38">
        <f>SUMIF(Danhsach!$K$10:$K$314,TK_theonguyennhan!$B12,Danhsach!J$10:J$314)</f>
        <v>0</v>
      </c>
      <c r="H12" s="175"/>
    </row>
    <row r="13" spans="1:8" ht="15">
      <c r="A13" s="39">
        <v>6</v>
      </c>
      <c r="B13" s="37" t="str">
        <f>Nguyen_nhan!B8</f>
        <v>6.Tạm dừng thi hành án để giải quyết khiếu nại</v>
      </c>
      <c r="C13" s="38">
        <f>COUNTIF(Danhsach!$K$10:$K$314,TK_theonguyennhan!B13)</f>
        <v>0</v>
      </c>
      <c r="D13" s="38">
        <f>SUMIF(Danhsach!$K$10:$K$314,TK_theonguyennhan!$B13,Danhsach!H$10:H$314)</f>
        <v>0</v>
      </c>
      <c r="E13" s="38">
        <f>SUMIF(Danhsach!$K$10:$K$314,TK_theonguyennhan!$B13,Danhsach!I$10:I$314)</f>
        <v>0</v>
      </c>
      <c r="F13" s="38">
        <f>SUMIF(Danhsach!$K$10:$K$314,TK_theonguyennhan!$B13,Danhsach!J$10:J$314)</f>
        <v>0</v>
      </c>
      <c r="H13" s="175"/>
    </row>
    <row r="14" spans="1:6" ht="15">
      <c r="A14" s="36">
        <v>7</v>
      </c>
      <c r="B14" s="37" t="str">
        <f>Nguyen_nhan!B9</f>
        <v>7.Đang trong thời gian tự nguyện thi hành án</v>
      </c>
      <c r="C14" s="38">
        <f>COUNTIF(Danhsach!$K$10:$K$314,TK_theonguyennhan!B14)</f>
        <v>0</v>
      </c>
      <c r="D14" s="38">
        <f>SUMIF(Danhsach!$K$10:$K$314,TK_theonguyennhan!$B14,Danhsach!H$10:H$314)</f>
        <v>0</v>
      </c>
      <c r="E14" s="38">
        <f>SUMIF(Danhsach!$K$10:$K$314,TK_theonguyennhan!$B14,Danhsach!I$10:I$314)</f>
        <v>0</v>
      </c>
      <c r="F14" s="38">
        <f>SUMIF(Danhsach!$K$10:$K$314,TK_theonguyennhan!$B14,Danhsach!J$10:J$314)</f>
        <v>0</v>
      </c>
    </row>
    <row r="15" spans="1:6" ht="15">
      <c r="A15" s="36">
        <v>8</v>
      </c>
      <c r="B15" s="37" t="str">
        <f>Nguyen_nhan!B10</f>
        <v>8.Đang trong thời gian chờ ý kiến chỉ đạo nghiệp vụ của cơ quan có thẩm quyền</v>
      </c>
      <c r="C15" s="38">
        <f>COUNTIF(Danhsach!$K$10:$K$314,TK_theonguyennhan!B15)</f>
        <v>0</v>
      </c>
      <c r="D15" s="38">
        <f>SUMIF(Danhsach!$K$10:$K$314,TK_theonguyennhan!$B15,Danhsach!H$10:H$314)</f>
        <v>0</v>
      </c>
      <c r="E15" s="38">
        <f>SUMIF(Danhsach!$K$10:$K$314,TK_theonguyennhan!$B15,Danhsach!I$10:I$314)</f>
        <v>0</v>
      </c>
      <c r="F15" s="38">
        <f>SUMIF(Danhsach!$K$10:$K$314,TK_theonguyennhan!$B15,Danhsach!J$10:J$314)</f>
        <v>0</v>
      </c>
    </row>
    <row r="16" spans="1:6" ht="15">
      <c r="A16" s="36">
        <v>9</v>
      </c>
      <c r="B16" s="37" t="str">
        <f>Nguyen_nhan!B11</f>
        <v>9.Đang trong thời gian chờ ý kiến Ban Chỉ đạo thi hành án dân sự</v>
      </c>
      <c r="C16" s="38">
        <f>COUNTIF(Danhsach!$K$10:$K$314,TK_theonguyennhan!B16)</f>
        <v>0</v>
      </c>
      <c r="D16" s="38">
        <f>SUMIF(Danhsach!$K$10:$K$314,TK_theonguyennhan!$B16,Danhsach!H$10:H$314)</f>
        <v>0</v>
      </c>
      <c r="E16" s="38">
        <f>SUMIF(Danhsach!$K$10:$K$314,TK_theonguyennhan!$B16,Danhsach!I$10:I$314)</f>
        <v>0</v>
      </c>
      <c r="F16" s="38">
        <f>SUMIF(Danhsach!$K$10:$K$314,TK_theonguyennhan!$B16,Danhsach!J$10:J$314)</f>
        <v>0</v>
      </c>
    </row>
    <row r="17" spans="1:6" s="40" customFormat="1" ht="15">
      <c r="A17" s="213" t="s">
        <v>1</v>
      </c>
      <c r="B17" s="211" t="s">
        <v>321</v>
      </c>
      <c r="C17" s="214">
        <f>COUNTIF(Danhsach!$K$10:$K$314,"Chưa có điều kiện thi hành")</f>
        <v>126</v>
      </c>
      <c r="D17" s="214">
        <f>SUMIF(Danhsach!$K$10:$K$314,"Chưa có điều kiện thi hành",Danhsach!H$10:H$314)+SUMIF(Danhsach1!$K$10:$K$26,"Chưa có điều kiện thi hành",Danhsach1!H$10:H$26)</f>
        <v>165184893.10000002</v>
      </c>
      <c r="E17" s="214">
        <f>SUMIF(Danhsach!$K$10:$K$314,"Chưa có điều kiện thi hành",Danhsach!I$10:I$314)+SUMIF(Danhsach1!$K$10:$K$26,"Chưa có điều kiện thi hành",Danhsach1!I$10:I$26)</f>
        <v>26502917</v>
      </c>
      <c r="F17" s="214">
        <f>SUMIF(Danhsach!$K$10:$K$314,"Chưa có điều kiện thi hành",Danhsach!J$10:J$314)+SUMIF(Danhsach1!$K$10:$K$26,"Chưa có điều kiện thi hành",Danhsach1!J$10:J$26)</f>
        <v>138681976.1</v>
      </c>
    </row>
    <row r="18" spans="1:6" ht="15">
      <c r="A18" s="36" t="s">
        <v>13</v>
      </c>
      <c r="B18" s="37" t="s">
        <v>322</v>
      </c>
      <c r="C18" s="41">
        <f>(C8+C9)/C7</f>
        <v>0.281437125748503</v>
      </c>
      <c r="D18" s="373">
        <f>E19/(D7+E17)</f>
        <v>0.313774399581155</v>
      </c>
      <c r="E18" s="374"/>
      <c r="F18" s="375"/>
    </row>
    <row r="19" spans="1:6" ht="22.5" customHeight="1">
      <c r="A19" s="36"/>
      <c r="B19" s="215" t="s">
        <v>83</v>
      </c>
      <c r="C19" s="216">
        <f>IF(C7+C17=Danhsach!$D$9,C7+C17,"Kiểm tra lại")</f>
        <v>293</v>
      </c>
      <c r="D19" s="216">
        <f>IF(D7+D17=Danhsach!H$9+Danhsach1!H$9,D7+D17,"Kiểm tra lại")</f>
        <v>324945636.217</v>
      </c>
      <c r="E19" s="216">
        <f>IF(E7+E17=Danhsach!I$9+Danhsach1!I$9,E7+E17,"Kiểm tra lại")</f>
        <v>58444768.117</v>
      </c>
      <c r="F19" s="216">
        <f>IF(F7+F17=Danhsach!J$9+Danhsach1!J$9,F7+F17,"Kiểm tra lại")</f>
        <v>266500868.1</v>
      </c>
    </row>
    <row r="20" spans="2:6" ht="16.5">
      <c r="B20" s="42"/>
      <c r="C20" s="42"/>
      <c r="D20" s="379" t="s">
        <v>844</v>
      </c>
      <c r="E20" s="379"/>
      <c r="F20" s="379"/>
    </row>
    <row r="21" spans="2:6" ht="16.5">
      <c r="B21" s="62" t="s">
        <v>9</v>
      </c>
      <c r="C21" s="42"/>
      <c r="D21" s="380" t="s">
        <v>317</v>
      </c>
      <c r="E21" s="380"/>
      <c r="F21" s="380"/>
    </row>
    <row r="28" spans="2:6" ht="15">
      <c r="B28" s="66" t="s">
        <v>342</v>
      </c>
      <c r="D28" s="371" t="s">
        <v>343</v>
      </c>
      <c r="E28" s="371"/>
      <c r="F28" s="371"/>
    </row>
    <row r="30" spans="1:6" ht="15">
      <c r="A30" s="377" t="s">
        <v>320</v>
      </c>
      <c r="B30" s="377"/>
      <c r="C30" s="377"/>
      <c r="D30" s="377"/>
      <c r="E30" s="377"/>
      <c r="F30" s="377"/>
    </row>
  </sheetData>
  <sheetProtection password="E846" sheet="1"/>
  <mergeCells count="11">
    <mergeCell ref="D21:F21"/>
    <mergeCell ref="D28:F28"/>
    <mergeCell ref="D2:F2"/>
    <mergeCell ref="D18:F18"/>
    <mergeCell ref="D5:F5"/>
    <mergeCell ref="C5:C6"/>
    <mergeCell ref="A30:F30"/>
    <mergeCell ref="A5:A6"/>
    <mergeCell ref="A3:F3"/>
    <mergeCell ref="B5:B6"/>
    <mergeCell ref="D20:F20"/>
  </mergeCells>
  <printOptions/>
  <pageMargins left="0.85" right="0.26" top="0.47" bottom="0.43" header="0.3" footer="0.3"/>
  <pageSetup horizontalDpi="600" verticalDpi="600" orientation="landscape" paperSize="9" scale="95" r:id="rId1"/>
  <ignoredErrors>
    <ignoredError sqref="C7:F7 B8:B16" unlockedFormula="1"/>
    <ignoredError sqref="C18 E18:F18" evalError="1"/>
  </ignoredErrors>
</worksheet>
</file>

<file path=xl/worksheets/sheet7.xml><?xml version="1.0" encoding="utf-8"?>
<worksheet xmlns="http://schemas.openxmlformats.org/spreadsheetml/2006/main" xmlns:r="http://schemas.openxmlformats.org/officeDocument/2006/relationships">
  <sheetPr codeName="Sheet5"/>
  <dimension ref="A1:J110"/>
  <sheetViews>
    <sheetView tabSelected="1" view="pageBreakPreview" zoomScaleSheetLayoutView="100" zoomScalePageLayoutView="0" workbookViewId="0" topLeftCell="A97">
      <selection activeCell="F100" sqref="F100"/>
    </sheetView>
  </sheetViews>
  <sheetFormatPr defaultColWidth="9.140625" defaultRowHeight="15"/>
  <cols>
    <col min="1" max="1" width="4.8515625" style="10" customWidth="1"/>
    <col min="2" max="2" width="61.421875" style="11" customWidth="1"/>
    <col min="3" max="3" width="8.8515625" style="11" customWidth="1"/>
    <col min="4" max="4" width="18.7109375" style="11" customWidth="1"/>
    <col min="5" max="5" width="19.57421875" style="11" customWidth="1"/>
    <col min="6" max="6" width="17.00390625" style="11" customWidth="1"/>
    <col min="7" max="7" width="9.140625" style="11" customWidth="1"/>
    <col min="8" max="8" width="13.421875" style="11" bestFit="1" customWidth="1"/>
    <col min="9" max="9" width="14.140625" style="11" customWidth="1"/>
    <col min="10" max="10" width="12.57421875" style="11" customWidth="1"/>
    <col min="11" max="16384" width="9.140625" style="11" customWidth="1"/>
  </cols>
  <sheetData>
    <row r="1" spans="4:6" ht="24" customHeight="1">
      <c r="D1" s="383" t="str">
        <f>"Đơn vị: "&amp;Danhsach!A3</f>
        <v>Đơn vị: CỤC THI HÀNH ÁN DÂN SỰ 
TỈNH KON TUM</v>
      </c>
      <c r="E1" s="383"/>
      <c r="F1" s="383"/>
    </row>
    <row r="2" spans="1:6" ht="24.75" customHeight="1">
      <c r="A2" s="382" t="s">
        <v>190</v>
      </c>
      <c r="B2" s="382"/>
      <c r="C2" s="382"/>
      <c r="D2" s="382"/>
      <c r="E2" s="382"/>
      <c r="F2" s="382"/>
    </row>
    <row r="4" spans="1:6" ht="20.25" customHeight="1">
      <c r="A4" s="385" t="s">
        <v>20</v>
      </c>
      <c r="B4" s="385" t="s">
        <v>191</v>
      </c>
      <c r="C4" s="385" t="s">
        <v>81</v>
      </c>
      <c r="D4" s="385" t="s">
        <v>82</v>
      </c>
      <c r="E4" s="385"/>
      <c r="F4" s="385"/>
    </row>
    <row r="5" spans="1:6" ht="37.5" customHeight="1">
      <c r="A5" s="385"/>
      <c r="B5" s="385"/>
      <c r="C5" s="385"/>
      <c r="D5" s="12" t="s">
        <v>3</v>
      </c>
      <c r="E5" s="12" t="s">
        <v>4</v>
      </c>
      <c r="F5" s="12" t="s">
        <v>5</v>
      </c>
    </row>
    <row r="6" spans="1:10" ht="15">
      <c r="A6" s="13">
        <f>TCTD!B6</f>
        <v>1</v>
      </c>
      <c r="B6" s="14" t="str">
        <f>TCTD!C6</f>
        <v>=:Các Ngân hàng chính sách (Nhà nước):=</v>
      </c>
      <c r="C6" s="18">
        <f>C7+C8</f>
        <v>15</v>
      </c>
      <c r="D6" s="18">
        <f>D7+D8</f>
        <v>5079076</v>
      </c>
      <c r="E6" s="18">
        <f>E7+E8</f>
        <v>67509</v>
      </c>
      <c r="F6" s="18">
        <f>F7+F8</f>
        <v>5011567</v>
      </c>
      <c r="G6" s="21"/>
      <c r="H6" s="21"/>
      <c r="I6" s="21"/>
      <c r="J6" s="21"/>
    </row>
    <row r="7" spans="1:10" ht="15">
      <c r="A7" s="15" t="str">
        <f>TCTD!B7</f>
        <v>1.1</v>
      </c>
      <c r="B7" s="16" t="str">
        <f>TCTD!C7</f>
        <v>Ngân hàng Chính sách Xã hội Việt Nam (VBSP)</v>
      </c>
      <c r="C7" s="19">
        <f>COUNTIF(Danhsach!$F$10:$F$314,TK_theoTCTD!B7)</f>
        <v>13</v>
      </c>
      <c r="D7" s="19">
        <f>SUMIF(Danhsach!$F$10:$F$314,TK_theoTCTD!$B7,Danhsach!H$10:H$314)+SUMIF(Danhsach1!$F$10:$F$26,TK_theoTCTD!$B7,Danhsach1!H$10:H$26)</f>
        <v>445835</v>
      </c>
      <c r="E7" s="19">
        <f>SUMIF(Danhsach!$F$10:$F$314,TK_theoTCTD!$B7,Danhsach!I$10:I$314)+SUMIF(Danhsach1!$F$10:$F$26,TK_theoTCTD!$B7,Danhsach1!I$10:I$26)</f>
        <v>67509</v>
      </c>
      <c r="F7" s="19">
        <f>SUMIF(Danhsach!$F$10:$F$314,TK_theoTCTD!$B7,Danhsach!J$10:J$314)+SUMIF(Danhsach1!$F$10:$F$26,TK_theoTCTD!$B7,Danhsach1!J$10:J$26)</f>
        <v>378326</v>
      </c>
      <c r="G7" s="21"/>
      <c r="H7" s="21"/>
      <c r="I7" s="21"/>
      <c r="J7" s="21"/>
    </row>
    <row r="8" spans="1:6" ht="15">
      <c r="A8" s="15" t="str">
        <f>TCTD!B8</f>
        <v>1.2</v>
      </c>
      <c r="B8" s="16" t="str">
        <f>TCTD!C8</f>
        <v>Ngân hàng Phát triển Việt Nam (VDB)</v>
      </c>
      <c r="C8" s="19">
        <f>COUNTIF(Danhsach!$F$10:$F$314,TK_theoTCTD!B8)</f>
        <v>2</v>
      </c>
      <c r="D8" s="19">
        <f>SUMIF(Danhsach!$F$10:$F$314,TK_theoTCTD!$B8,Danhsach!H$10:H$314)+SUMIF(Danhsach1!$F$10:$F$26,TK_theoTCTD!$B8,Danhsach1!H$10:H$26)</f>
        <v>4633241</v>
      </c>
      <c r="E8" s="19">
        <f>SUMIF(Danhsach!$F$10:$F$314,TK_theoTCTD!$B8,Danhsach!I$10:I$314)+SUMIF(Danhsach1!$F$10:$F$26,TK_theoTCTD!$B8,Danhsach1!I$10:I$26)</f>
        <v>0</v>
      </c>
      <c r="F8" s="19">
        <f>SUMIF(Danhsach!$F$10:$F$314,TK_theoTCTD!$B8,Danhsach!J$10:J$314)+SUMIF(Danhsach1!$F$10:$F$26,TK_theoTCTD!$B8,Danhsach1!J$10:J$26)</f>
        <v>4633241</v>
      </c>
    </row>
    <row r="9" spans="1:6" ht="15">
      <c r="A9" s="13">
        <f>TCTD!B9</f>
        <v>2</v>
      </c>
      <c r="B9" s="14" t="str">
        <f>TCTD!C9</f>
        <v>=:Ngân hàng Hợp tác xã:=</v>
      </c>
      <c r="C9" s="18">
        <f>C10+C11</f>
        <v>3</v>
      </c>
      <c r="D9" s="18">
        <f>D10+D11</f>
        <v>154181</v>
      </c>
      <c r="E9" s="18">
        <f>E10+E11</f>
        <v>78104</v>
      </c>
      <c r="F9" s="18">
        <f>F10+F11</f>
        <v>76077</v>
      </c>
    </row>
    <row r="10" spans="1:6" ht="15">
      <c r="A10" s="15" t="str">
        <f>TCTD!B10</f>
        <v>2.1</v>
      </c>
      <c r="B10" s="16" t="str">
        <f>TCTD!C10</f>
        <v>Các Quỹ tín dụng nhân dân cơ sở (Quỹ tín dụng phường, xã)</v>
      </c>
      <c r="C10" s="19">
        <f>COUNTIF(Danhsach!$F$10:$F$314,TK_theoTCTD!B10)</f>
        <v>3</v>
      </c>
      <c r="D10" s="19">
        <f>SUMIF(Danhsach!$F$10:$F$314,TK_theoTCTD!$B10,Danhsach!H$10:H$314)+SUMIF(Danhsach1!$F$10:$F$26,TK_theoTCTD!$B10,Danhsach1!H$10:H$26)</f>
        <v>154181</v>
      </c>
      <c r="E10" s="19">
        <f>SUMIF(Danhsach!$F$10:$F$314,TK_theoTCTD!$B10,Danhsach!I$10:I$314)+SUMIF(Danhsach1!$F$10:$F$26,TK_theoTCTD!$B10,Danhsach1!I$10:I$26)</f>
        <v>78104</v>
      </c>
      <c r="F10" s="19">
        <f>SUMIF(Danhsach!$F$10:$F$314,TK_theoTCTD!$B10,Danhsach!J$10:J$314)+SUMIF(Danhsach1!$F$10:$F$26,TK_theoTCTD!$B10,Danhsach1!J$10:J$26)</f>
        <v>76077</v>
      </c>
    </row>
    <row r="11" spans="1:6" ht="30">
      <c r="A11" s="15" t="str">
        <f>TCTD!B11</f>
        <v>2.2</v>
      </c>
      <c r="B11" s="16" t="str">
        <f>TCTD!C11</f>
        <v>Ngân hàng hợp tác xã Việt Nam (Co-op bank, trước đây là Quỹ tín dụng nhân dân trung ương)</v>
      </c>
      <c r="C11" s="19">
        <f>COUNTIF(Danhsach!$F$10:$F$314,TK_theoTCTD!B11)</f>
        <v>0</v>
      </c>
      <c r="D11" s="19">
        <f>SUMIF(Danhsach!$F$10:$F$314,TK_theoTCTD!$B11,Danhsach!H$10:H$314)+SUMIF(Danhsach1!$F$10:$F$26,TK_theoTCTD!$B11,Danhsach1!H$10:H$26)</f>
        <v>0</v>
      </c>
      <c r="E11" s="19">
        <f>SUMIF(Danhsach!$F$10:$F$314,TK_theoTCTD!$B11,Danhsach!I$10:I$314)+SUMIF(Danhsach1!$F$10:$F$26,TK_theoTCTD!$B11,Danhsach1!I$10:I$26)</f>
        <v>0</v>
      </c>
      <c r="F11" s="19">
        <f>SUMIF(Danhsach!$F$10:$F$314,TK_theoTCTD!$B11,Danhsach!J$10:J$314)+SUMIF(Danhsach1!$F$10:$F$26,TK_theoTCTD!$B11,Danhsach1!J$10:J$26)</f>
        <v>0</v>
      </c>
    </row>
    <row r="12" spans="1:6" ht="15">
      <c r="A12" s="13">
        <f>TCTD!B12</f>
        <v>3</v>
      </c>
      <c r="B12" s="14" t="str">
        <f>TCTD!C12</f>
        <v>=:Ngân hàng Thương Mại Nhà nước:=</v>
      </c>
      <c r="C12" s="18">
        <f>C13+C14+C15</f>
        <v>39</v>
      </c>
      <c r="D12" s="18">
        <f>D13+D14+D15</f>
        <v>49052488.698</v>
      </c>
      <c r="E12" s="18">
        <f>E13+E14+E15</f>
        <v>6152801</v>
      </c>
      <c r="F12" s="18">
        <f>F13+F14+F15</f>
        <v>42899687.698</v>
      </c>
    </row>
    <row r="13" spans="1:6" ht="15">
      <c r="A13" s="15" t="s">
        <v>58</v>
      </c>
      <c r="B13" s="16" t="str">
        <f>TCTD!C13</f>
        <v>Đại Dương (Oceanbank)</v>
      </c>
      <c r="C13" s="19">
        <f>COUNTIF(Danhsach!$F$10:$F$314,TK_theoTCTD!B13)</f>
        <v>0</v>
      </c>
      <c r="D13" s="19">
        <f>SUMIF(Danhsach!$F$10:$F$314,TK_theoTCTD!$B13,Danhsach!H$10:H$314)+SUMIF(Danhsach1!$F$10:$F$26,TK_theoTCTD!$B13,Danhsach1!H$10:H$26)</f>
        <v>0</v>
      </c>
      <c r="E13" s="19">
        <f>SUMIF(Danhsach!$F$10:$F$314,TK_theoTCTD!$B13,Danhsach!I$10:I$314)+SUMIF(Danhsach1!$F$10:$F$26,TK_theoTCTD!$B13,Danhsach1!I$10:I$26)</f>
        <v>0</v>
      </c>
      <c r="F13" s="19">
        <f>SUMIF(Danhsach!$F$10:$F$314,TK_theoTCTD!$B13,Danhsach!J$10:J$314)+SUMIF(Danhsach1!$F$10:$F$26,TK_theoTCTD!$B13,Danhsach1!J$10:J$26)</f>
        <v>0</v>
      </c>
    </row>
    <row r="14" spans="1:6" ht="15">
      <c r="A14" s="15" t="s">
        <v>59</v>
      </c>
      <c r="B14" s="16" t="str">
        <f>TCTD!C14</f>
        <v>Nông nghiệp và Phát triển Nông thôn Việt Nam  (Agribank)</v>
      </c>
      <c r="C14" s="19">
        <f>COUNTIF(Danhsach!$F$10:$F$314,TK_theoTCTD!B14)</f>
        <v>39</v>
      </c>
      <c r="D14" s="19">
        <f>SUMIF(Danhsach!$F$10:$F$314,TK_theoTCTD!$B14,Danhsach!H$10:H$314)+SUMIF(Danhsach1!$F$10:$F$26,TK_theoTCTD!$B14,Danhsach1!H$10:H$26)</f>
        <v>49052488.698</v>
      </c>
      <c r="E14" s="19">
        <f>SUMIF(Danhsach!$F$10:$F$314,TK_theoTCTD!$B14,Danhsach!I$10:I$314)+SUMIF(Danhsach1!$F$10:$F$26,TK_theoTCTD!$B14,Danhsach1!I$10:I$26)</f>
        <v>6152801</v>
      </c>
      <c r="F14" s="19">
        <f>SUMIF(Danhsach!$F$10:$F$314,TK_theoTCTD!$B14,Danhsach!J$10:J$314)+SUMIF(Danhsach1!$F$10:$F$26,TK_theoTCTD!$B14,Danhsach1!J$10:J$26)</f>
        <v>42899687.698</v>
      </c>
    </row>
    <row r="15" spans="1:6" ht="15">
      <c r="A15" s="15" t="s">
        <v>60</v>
      </c>
      <c r="B15" s="16" t="str">
        <f>TCTD!C15</f>
        <v>Xây dựng Việt Nam (CBBANK, VNCB)</v>
      </c>
      <c r="C15" s="19">
        <f>COUNTIF(Danhsach!$F$10:$F$314,TK_theoTCTD!B15)</f>
        <v>0</v>
      </c>
      <c r="D15" s="19">
        <f>SUMIF(Danhsach!$F$10:$F$314,TK_theoTCTD!$B15,Danhsach!H$10:H$314)+SUMIF(Danhsach1!$F$10:$F$26,TK_theoTCTD!$B15,Danhsach1!H$10:H$26)</f>
        <v>0</v>
      </c>
      <c r="E15" s="19">
        <f>SUMIF(Danhsach!$F$10:$F$314,TK_theoTCTD!$B15,Danhsach!I$10:I$314)+SUMIF(Danhsach1!$F$10:$F$26,TK_theoTCTD!$B15,Danhsach1!I$10:I$26)</f>
        <v>0</v>
      </c>
      <c r="F15" s="19">
        <f>SUMIF(Danhsach!$F$10:$F$314,TK_theoTCTD!$B15,Danhsach!J$10:J$314)+SUMIF(Danhsach1!$F$10:$F$26,TK_theoTCTD!$B15,Danhsach1!J$10:J$26)</f>
        <v>0</v>
      </c>
    </row>
    <row r="16" spans="1:6" ht="15">
      <c r="A16" s="13">
        <v>4</v>
      </c>
      <c r="B16" s="14" t="str">
        <f>TCTD!C16</f>
        <v>=:Ngân hàng thương mại cổ phần:=</v>
      </c>
      <c r="C16" s="18">
        <f>SUM(C17:C50)</f>
        <v>232</v>
      </c>
      <c r="D16" s="18">
        <f>SUM(D17:D50)</f>
        <v>269847053.519</v>
      </c>
      <c r="E16" s="18">
        <f>SUM(E17:E50)</f>
        <v>52134354.117</v>
      </c>
      <c r="F16" s="18">
        <f>SUM(F17:F50)</f>
        <v>217712699.402</v>
      </c>
    </row>
    <row r="17" spans="1:6" ht="15">
      <c r="A17" s="15" t="s">
        <v>61</v>
      </c>
      <c r="B17" s="16" t="str">
        <f>TCTD!C17</f>
        <v>Á Châu (Asia Commercial Bank, ACB)</v>
      </c>
      <c r="C17" s="19">
        <f>COUNTIF(Danhsach!$F$10:$F$314,TK_theoTCTD!B17)</f>
        <v>21</v>
      </c>
      <c r="D17" s="19">
        <f>SUMIF(Danhsach!$F$10:$F$314,TK_theoTCTD!$B17,Danhsach!H$10:H$314)+SUMIF(Danhsach1!$F$10:$F$26,TK_theoTCTD!$B17,Danhsach1!H$10:H$26)</f>
        <v>41016439</v>
      </c>
      <c r="E17" s="19">
        <f>SUMIF(Danhsach!$F$10:$F$314,TK_theoTCTD!$B17,Danhsach!I$10:I$314)+SUMIF(Danhsach1!$F$10:$F$26,TK_theoTCTD!$B17,Danhsach1!I$10:I$26)</f>
        <v>10093409</v>
      </c>
      <c r="F17" s="19">
        <f>SUMIF(Danhsach!$F$10:$F$314,TK_theoTCTD!$B17,Danhsach!J$10:J$314)+SUMIF(Danhsach1!$F$10:$F$26,TK_theoTCTD!$B17,Danhsach1!J$10:J$26)</f>
        <v>30923030</v>
      </c>
    </row>
    <row r="18" spans="1:6" ht="15">
      <c r="A18" s="15" t="s">
        <v>62</v>
      </c>
      <c r="B18" s="16" t="str">
        <f>TCTD!C18</f>
        <v>An Bình (ABBank)</v>
      </c>
      <c r="C18" s="19">
        <f>COUNTIF(Danhsach!$F$10:$F$314,TK_theoTCTD!B18)</f>
        <v>5</v>
      </c>
      <c r="D18" s="19">
        <f>SUMIF(Danhsach!$F$10:$F$314,TK_theoTCTD!$B18,Danhsach!H$10:H$314)+SUMIF(Danhsach1!$F$10:$F$26,TK_theoTCTD!$B18,Danhsach1!H$10:H$26)</f>
        <v>49263377</v>
      </c>
      <c r="E18" s="19">
        <f>SUMIF(Danhsach!$F$10:$F$314,TK_theoTCTD!$B18,Danhsach!I$10:I$314)+SUMIF(Danhsach1!$F$10:$F$26,TK_theoTCTD!$B18,Danhsach1!I$10:I$26)</f>
        <v>0</v>
      </c>
      <c r="F18" s="19">
        <f>SUMIF(Danhsach!$F$10:$F$314,TK_theoTCTD!$B18,Danhsach!J$10:J$314)+SUMIF(Danhsach1!$F$10:$F$26,TK_theoTCTD!$B18,Danhsach1!J$10:J$26)</f>
        <v>49263377</v>
      </c>
    </row>
    <row r="19" spans="1:6" ht="15">
      <c r="A19" s="15" t="s">
        <v>63</v>
      </c>
      <c r="B19" s="16" t="str">
        <f>TCTD!C19</f>
        <v>Bản Việt (VIET CAPITAL BANK, VCCB)</v>
      </c>
      <c r="C19" s="19">
        <f>COUNTIF(Danhsach!$F$10:$F$314,TK_theoTCTD!B19)</f>
        <v>0</v>
      </c>
      <c r="D19" s="19">
        <f>SUMIF(Danhsach!$F$10:$F$314,TK_theoTCTD!$B19,Danhsach!H$10:H$314)+SUMIF(Danhsach1!$F$10:$F$26,TK_theoTCTD!$B19,Danhsach1!H$10:H$26)</f>
        <v>0</v>
      </c>
      <c r="E19" s="19">
        <f>SUMIF(Danhsach!$F$10:$F$314,TK_theoTCTD!$B19,Danhsach!I$10:I$314)+SUMIF(Danhsach1!$F$10:$F$26,TK_theoTCTD!$B19,Danhsach1!I$10:I$26)</f>
        <v>0</v>
      </c>
      <c r="F19" s="19">
        <f>SUMIF(Danhsach!$F$10:$F$314,TK_theoTCTD!$B19,Danhsach!J$10:J$314)+SUMIF(Danhsach1!$F$10:$F$26,TK_theoTCTD!$B19,Danhsach1!J$10:J$26)</f>
        <v>0</v>
      </c>
    </row>
    <row r="20" spans="1:6" ht="15">
      <c r="A20" s="15" t="s">
        <v>64</v>
      </c>
      <c r="B20" s="16" t="str">
        <f>TCTD!C20</f>
        <v>Bảo Việt (BaoVietBank, BVB)</v>
      </c>
      <c r="C20" s="19">
        <f>COUNTIF(Danhsach!$F$10:$F$314,TK_theoTCTD!B20)</f>
        <v>0</v>
      </c>
      <c r="D20" s="19">
        <f>SUMIF(Danhsach!$F$10:$F$314,TK_theoTCTD!$B20,Danhsach!H$10:H$314)+SUMIF(Danhsach1!$F$10:$F$26,TK_theoTCTD!$B20,Danhsach1!H$10:H$26)</f>
        <v>0</v>
      </c>
      <c r="E20" s="19">
        <f>SUMIF(Danhsach!$F$10:$F$314,TK_theoTCTD!$B20,Danhsach!I$10:I$314)+SUMIF(Danhsach1!$F$10:$F$26,TK_theoTCTD!$B20,Danhsach1!I$10:I$26)</f>
        <v>0</v>
      </c>
      <c r="F20" s="19">
        <f>SUMIF(Danhsach!$F$10:$F$314,TK_theoTCTD!$B20,Danhsach!J$10:J$314)+SUMIF(Danhsach1!$F$10:$F$26,TK_theoTCTD!$B20,Danhsach1!J$10:J$26)</f>
        <v>0</v>
      </c>
    </row>
    <row r="21" spans="1:6" ht="15">
      <c r="A21" s="15" t="s">
        <v>65</v>
      </c>
      <c r="B21" s="16" t="str">
        <f>TCTD!C21</f>
        <v>Bắc Á (NASBank, NASB)</v>
      </c>
      <c r="C21" s="19">
        <f>COUNTIF(Danhsach!$F$10:$F$314,TK_theoTCTD!B21)</f>
        <v>0</v>
      </c>
      <c r="D21" s="19">
        <f>SUMIF(Danhsach!$F$10:$F$314,TK_theoTCTD!$B21,Danhsach!H$10:H$314)+SUMIF(Danhsach1!$F$10:$F$26,TK_theoTCTD!$B21,Danhsach1!H$10:H$26)</f>
        <v>0</v>
      </c>
      <c r="E21" s="19">
        <f>SUMIF(Danhsach!$F$10:$F$314,TK_theoTCTD!$B21,Danhsach!I$10:I$314)+SUMIF(Danhsach1!$F$10:$F$26,TK_theoTCTD!$B21,Danhsach1!I$10:I$26)</f>
        <v>0</v>
      </c>
      <c r="F21" s="19">
        <f>SUMIF(Danhsach!$F$10:$F$314,TK_theoTCTD!$B21,Danhsach!J$10:J$314)+SUMIF(Danhsach1!$F$10:$F$26,TK_theoTCTD!$B21,Danhsach1!J$10:J$26)</f>
        <v>0</v>
      </c>
    </row>
    <row r="22" spans="1:6" ht="15">
      <c r="A22" s="15" t="s">
        <v>66</v>
      </c>
      <c r="B22" s="16" t="str">
        <f>TCTD!C22</f>
        <v>Bưu Điện Liên Việt (LienVietPostBank)</v>
      </c>
      <c r="C22" s="19">
        <f>COUNTIF(Danhsach!$F$10:$F$314,TK_theoTCTD!B22)</f>
        <v>17</v>
      </c>
      <c r="D22" s="19">
        <f>SUMIF(Danhsach!$F$10:$F$314,TK_theoTCTD!$B22,Danhsach!H$10:H$314)+SUMIF(Danhsach1!$F$10:$F$26,TK_theoTCTD!$B22,Danhsach1!H$10:H$26)</f>
        <v>1443992</v>
      </c>
      <c r="E22" s="19">
        <f>SUMIF(Danhsach!$F$10:$F$314,TK_theoTCTD!$B22,Danhsach!I$10:I$314)+SUMIF(Danhsach1!$F$10:$F$26,TK_theoTCTD!$B22,Danhsach1!I$10:I$26)</f>
        <v>251309</v>
      </c>
      <c r="F22" s="19">
        <f>SUMIF(Danhsach!$F$10:$F$314,TK_theoTCTD!$B22,Danhsach!J$10:J$314)+SUMIF(Danhsach1!$F$10:$F$26,TK_theoTCTD!$B22,Danhsach1!J$10:J$26)</f>
        <v>1192683</v>
      </c>
    </row>
    <row r="23" spans="1:6" ht="15">
      <c r="A23" s="15" t="s">
        <v>67</v>
      </c>
      <c r="B23" s="16" t="str">
        <f>TCTD!C23</f>
        <v>Công Thương Việt Nam (Vietinbank)</v>
      </c>
      <c r="C23" s="19">
        <f>COUNTIF(Danhsach!$F$10:$F$314,TK_theoTCTD!B23)</f>
        <v>44</v>
      </c>
      <c r="D23" s="19">
        <f>SUMIF(Danhsach!$F$10:$F$314,TK_theoTCTD!$B23,Danhsach!H$10:H$314)+SUMIF(Danhsach1!$F$10:$F$26,TK_theoTCTD!$B23,Danhsach1!H$10:H$26)</f>
        <v>36659524.117</v>
      </c>
      <c r="E23" s="19">
        <f>SUMIF(Danhsach!$F$10:$F$314,TK_theoTCTD!$B23,Danhsach!I$10:I$314)+SUMIF(Danhsach1!$F$10:$F$26,TK_theoTCTD!$B23,Danhsach1!I$10:I$26)</f>
        <v>10809822.117</v>
      </c>
      <c r="F23" s="19">
        <f>SUMIF(Danhsach!$F$10:$F$314,TK_theoTCTD!$B23,Danhsach!J$10:J$314)+SUMIF(Danhsach1!$F$10:$F$26,TK_theoTCTD!$B23,Danhsach1!J$10:J$26)</f>
        <v>25849702</v>
      </c>
    </row>
    <row r="24" spans="1:6" ht="15">
      <c r="A24" s="15" t="s">
        <v>68</v>
      </c>
      <c r="B24" s="16" t="str">
        <f>TCTD!C24</f>
        <v>Dầu Khí Toàn Cầu (GPBank)</v>
      </c>
      <c r="C24" s="19">
        <f>COUNTIF(Danhsach!$F$10:$F$314,TK_theoTCTD!B24)</f>
        <v>0</v>
      </c>
      <c r="D24" s="19">
        <f>SUMIF(Danhsach!$F$10:$F$314,TK_theoTCTD!$B24,Danhsach!H$10:H$314)+SUMIF(Danhsach1!$F$10:$F$26,TK_theoTCTD!$B24,Danhsach1!H$10:H$26)</f>
        <v>0</v>
      </c>
      <c r="E24" s="19">
        <f>SUMIF(Danhsach!$F$10:$F$314,TK_theoTCTD!$B24,Danhsach!I$10:I$314)+SUMIF(Danhsach1!$F$10:$F$26,TK_theoTCTD!$B24,Danhsach1!I$10:I$26)</f>
        <v>0</v>
      </c>
      <c r="F24" s="19">
        <f>SUMIF(Danhsach!$F$10:$F$314,TK_theoTCTD!$B24,Danhsach!J$10:J$314)+SUMIF(Danhsach1!$F$10:$F$26,TK_theoTCTD!$B24,Danhsach1!J$10:J$26)</f>
        <v>0</v>
      </c>
    </row>
    <row r="25" spans="1:6" ht="15">
      <c r="A25" s="15" t="s">
        <v>69</v>
      </c>
      <c r="B25" s="16" t="str">
        <f>TCTD!C25</f>
        <v>Đại Chúng (PVcom Bank)</v>
      </c>
      <c r="C25" s="19">
        <f>COUNTIF(Danhsach!$F$10:$F$314,TK_theoTCTD!B25)</f>
        <v>0</v>
      </c>
      <c r="D25" s="19">
        <f>SUMIF(Danhsach!$F$10:$F$314,TK_theoTCTD!$B25,Danhsach!H$10:H$314)+SUMIF(Danhsach1!$F$10:$F$26,TK_theoTCTD!$B25,Danhsach1!H$10:H$26)</f>
        <v>0</v>
      </c>
      <c r="E25" s="19">
        <f>SUMIF(Danhsach!$F$10:$F$314,TK_theoTCTD!$B25,Danhsach!I$10:I$314)+SUMIF(Danhsach1!$F$10:$F$26,TK_theoTCTD!$B25,Danhsach1!I$10:I$26)</f>
        <v>0</v>
      </c>
      <c r="F25" s="19">
        <f>SUMIF(Danhsach!$F$10:$F$314,TK_theoTCTD!$B25,Danhsach!J$10:J$314)+SUMIF(Danhsach1!$F$10:$F$26,TK_theoTCTD!$B25,Danhsach1!J$10:J$26)</f>
        <v>0</v>
      </c>
    </row>
    <row r="26" spans="1:6" ht="15">
      <c r="A26" s="15" t="s">
        <v>70</v>
      </c>
      <c r="B26" s="16" t="str">
        <f>TCTD!C26</f>
        <v>Đầu tư và Phát triển Việt Nam (BIDV)</v>
      </c>
      <c r="C26" s="19">
        <f>COUNTIF(Danhsach!$F$10:$F$314,TK_theoTCTD!B26)</f>
        <v>44</v>
      </c>
      <c r="D26" s="19">
        <f>SUMIF(Danhsach!$F$10:$F$314,TK_theoTCTD!$B26,Danhsach!H$10:H$314)+SUMIF(Danhsach1!$F$10:$F$26,TK_theoTCTD!$B26,Danhsach1!H$10:H$26)</f>
        <v>31515234</v>
      </c>
      <c r="E26" s="19">
        <f>SUMIF(Danhsach!$F$10:$F$314,TK_theoTCTD!$B26,Danhsach!I$10:I$314)+SUMIF(Danhsach1!$F$10:$F$26,TK_theoTCTD!$B26,Danhsach1!I$10:I$26)</f>
        <v>6218844</v>
      </c>
      <c r="F26" s="19">
        <f>SUMIF(Danhsach!$F$10:$F$314,TK_theoTCTD!$B26,Danhsach!J$10:J$314)+SUMIF(Danhsach1!$F$10:$F$26,TK_theoTCTD!$B26,Danhsach1!J$10:J$26)</f>
        <v>25296390</v>
      </c>
    </row>
    <row r="27" spans="1:6" ht="15">
      <c r="A27" s="15" t="s">
        <v>71</v>
      </c>
      <c r="B27" s="16" t="str">
        <f>TCTD!C27</f>
        <v>Đông Á (DAB)</v>
      </c>
      <c r="C27" s="19">
        <f>COUNTIF(Danhsach!$F$10:$F$314,TK_theoTCTD!B27)</f>
        <v>19</v>
      </c>
      <c r="D27" s="19">
        <f>SUMIF(Danhsach!$F$10:$F$314,TK_theoTCTD!$B27,Danhsach!H$10:H$314)+SUMIF(Danhsach1!$F$10:$F$26,TK_theoTCTD!$B27,Danhsach1!H$10:H$26)</f>
        <v>6321314</v>
      </c>
      <c r="E27" s="19">
        <f>SUMIF(Danhsach!$F$10:$F$314,TK_theoTCTD!$B27,Danhsach!I$10:I$314)+SUMIF(Danhsach1!$F$10:$F$26,TK_theoTCTD!$B27,Danhsach1!I$10:I$26)</f>
        <v>43017</v>
      </c>
      <c r="F27" s="19">
        <f>SUMIF(Danhsach!$F$10:$F$314,TK_theoTCTD!$B27,Danhsach!J$10:J$314)+SUMIF(Danhsach1!$F$10:$F$26,TK_theoTCTD!$B27,Danhsach1!J$10:J$26)</f>
        <v>6278297</v>
      </c>
    </row>
    <row r="28" spans="1:6" ht="15">
      <c r="A28" s="15" t="s">
        <v>72</v>
      </c>
      <c r="B28" s="16" t="str">
        <f>TCTD!C28</f>
        <v>Đông Nam Á (SeABank)</v>
      </c>
      <c r="C28" s="19">
        <f>COUNTIF(Danhsach!$F$10:$F$314,TK_theoTCTD!B28)</f>
        <v>0</v>
      </c>
      <c r="D28" s="19">
        <f>SUMIF(Danhsach!$F$10:$F$314,TK_theoTCTD!$B28,Danhsach!H$10:H$314)+SUMIF(Danhsach1!$F$10:$F$26,TK_theoTCTD!$B28,Danhsach1!H$10:H$26)</f>
        <v>0</v>
      </c>
      <c r="E28" s="19">
        <f>SUMIF(Danhsach!$F$10:$F$314,TK_theoTCTD!$B28,Danhsach!I$10:I$314)+SUMIF(Danhsach1!$F$10:$F$26,TK_theoTCTD!$B28,Danhsach1!I$10:I$26)</f>
        <v>0</v>
      </c>
      <c r="F28" s="19">
        <f>SUMIF(Danhsach!$F$10:$F$314,TK_theoTCTD!$B28,Danhsach!J$10:J$314)+SUMIF(Danhsach1!$F$10:$F$26,TK_theoTCTD!$B28,Danhsach1!J$10:J$26)</f>
        <v>0</v>
      </c>
    </row>
    <row r="29" spans="1:6" ht="15">
      <c r="A29" s="15" t="s">
        <v>73</v>
      </c>
      <c r="B29" s="16" t="str">
        <f>TCTD!C29</f>
        <v>Hàng hải (Maritime Bank, MSB)</v>
      </c>
      <c r="C29" s="19">
        <f>COUNTIF(Danhsach!$F$10:$F$314,TK_theoTCTD!B29)</f>
        <v>0</v>
      </c>
      <c r="D29" s="19">
        <f>SUMIF(Danhsach!$F$10:$F$314,TK_theoTCTD!$B29,Danhsach!H$10:H$314)+SUMIF(Danhsach1!$F$10:$F$26,TK_theoTCTD!$B29,Danhsach1!H$10:H$26)</f>
        <v>0</v>
      </c>
      <c r="E29" s="19">
        <f>SUMIF(Danhsach!$F$10:$F$314,TK_theoTCTD!$B29,Danhsach!I$10:I$314)+SUMIF(Danhsach1!$F$10:$F$26,TK_theoTCTD!$B29,Danhsach1!I$10:I$26)</f>
        <v>0</v>
      </c>
      <c r="F29" s="19">
        <f>SUMIF(Danhsach!$F$10:$F$314,TK_theoTCTD!$B29,Danhsach!J$10:J$314)+SUMIF(Danhsach1!$F$10:$F$26,TK_theoTCTD!$B29,Danhsach1!J$10:J$26)</f>
        <v>0</v>
      </c>
    </row>
    <row r="30" spans="1:6" ht="15">
      <c r="A30" s="15" t="s">
        <v>74</v>
      </c>
      <c r="B30" s="16" t="str">
        <f>TCTD!C30</f>
        <v>Kiên Long (KienLongBank)</v>
      </c>
      <c r="C30" s="19">
        <f>COUNTIF(Danhsach!$F$10:$F$314,TK_theoTCTD!B30)</f>
        <v>0</v>
      </c>
      <c r="D30" s="19">
        <f>SUMIF(Danhsach!$F$10:$F$314,TK_theoTCTD!$B30,Danhsach!H$10:H$314)+SUMIF(Danhsach1!$F$10:$F$26,TK_theoTCTD!$B30,Danhsach1!H$10:H$26)</f>
        <v>0</v>
      </c>
      <c r="E30" s="19">
        <f>SUMIF(Danhsach!$F$10:$F$314,TK_theoTCTD!$B30,Danhsach!I$10:I$314)+SUMIF(Danhsach1!$F$10:$F$26,TK_theoTCTD!$B30,Danhsach1!I$10:I$26)</f>
        <v>0</v>
      </c>
      <c r="F30" s="19">
        <f>SUMIF(Danhsach!$F$10:$F$314,TK_theoTCTD!$B30,Danhsach!J$10:J$314)+SUMIF(Danhsach1!$F$10:$F$26,TK_theoTCTD!$B30,Danhsach1!J$10:J$26)</f>
        <v>0</v>
      </c>
    </row>
    <row r="31" spans="1:6" ht="15">
      <c r="A31" s="15" t="s">
        <v>216</v>
      </c>
      <c r="B31" s="16" t="str">
        <f>TCTD!C31</f>
        <v>Kỹ Thương (Techcombank)</v>
      </c>
      <c r="C31" s="19">
        <f>COUNTIF(Danhsach!$F$10:$F$314,TK_theoTCTD!B31)</f>
        <v>0</v>
      </c>
      <c r="D31" s="19">
        <f>SUMIF(Danhsach!$F$10:$F$314,TK_theoTCTD!$B31,Danhsach!H$10:H$314)+SUMIF(Danhsach1!$F$10:$F$26,TK_theoTCTD!$B31,Danhsach1!H$10:H$26)</f>
        <v>0</v>
      </c>
      <c r="E31" s="19">
        <f>SUMIF(Danhsach!$F$10:$F$314,TK_theoTCTD!$B31,Danhsach!I$10:I$314)+SUMIF(Danhsach1!$F$10:$F$26,TK_theoTCTD!$B31,Danhsach1!I$10:I$26)</f>
        <v>0</v>
      </c>
      <c r="F31" s="19">
        <f>SUMIF(Danhsach!$F$10:$F$314,TK_theoTCTD!$B31,Danhsach!J$10:J$314)+SUMIF(Danhsach1!$F$10:$F$26,TK_theoTCTD!$B31,Danhsach1!J$10:J$26)</f>
        <v>0</v>
      </c>
    </row>
    <row r="32" spans="1:6" ht="15">
      <c r="A32" s="15" t="s">
        <v>217</v>
      </c>
      <c r="B32" s="16" t="str">
        <f>TCTD!C32</f>
        <v>Nam Á (Nam A Bank)</v>
      </c>
      <c r="C32" s="19">
        <f>COUNTIF(Danhsach!$F$10:$F$314,TK_theoTCTD!B32)</f>
        <v>0</v>
      </c>
      <c r="D32" s="19">
        <f>SUMIF(Danhsach!$F$10:$F$314,TK_theoTCTD!$B32,Danhsach!H$10:H$314)+SUMIF(Danhsach1!$F$10:$F$26,TK_theoTCTD!$B32,Danhsach1!H$10:H$26)</f>
        <v>0</v>
      </c>
      <c r="E32" s="19">
        <f>SUMIF(Danhsach!$F$10:$F$314,TK_theoTCTD!$B32,Danhsach!I$10:I$314)+SUMIF(Danhsach1!$F$10:$F$26,TK_theoTCTD!$B32,Danhsach1!I$10:I$26)</f>
        <v>0</v>
      </c>
      <c r="F32" s="19">
        <f>SUMIF(Danhsach!$F$10:$F$314,TK_theoTCTD!$B32,Danhsach!J$10:J$314)+SUMIF(Danhsach1!$F$10:$F$26,TK_theoTCTD!$B32,Danhsach1!J$10:J$26)</f>
        <v>0</v>
      </c>
    </row>
    <row r="33" spans="1:6" ht="15">
      <c r="A33" s="15" t="s">
        <v>218</v>
      </c>
      <c r="B33" s="16" t="str">
        <f>TCTD!C33</f>
        <v>Ngoại thương (Vietcombank)</v>
      </c>
      <c r="C33" s="19">
        <f>COUNTIF(Danhsach!$F$10:$F$314,TK_theoTCTD!B33)</f>
        <v>40</v>
      </c>
      <c r="D33" s="19">
        <f>SUMIF(Danhsach!$F$10:$F$314,TK_theoTCTD!$B33,Danhsach!H$10:H$314)+SUMIF(Danhsach1!$F$10:$F$26,TK_theoTCTD!$B33,Danhsach1!H$10:H$26)</f>
        <v>70917084.402</v>
      </c>
      <c r="E33" s="19">
        <f>SUMIF(Danhsach!$F$10:$F$314,TK_theoTCTD!$B33,Danhsach!I$10:I$314)+SUMIF(Danhsach1!$F$10:$F$26,TK_theoTCTD!$B33,Danhsach1!I$10:I$26)</f>
        <v>18495731</v>
      </c>
      <c r="F33" s="19">
        <f>SUMIF(Danhsach!$F$10:$F$314,TK_theoTCTD!$B33,Danhsach!J$10:J$314)+SUMIF(Danhsach1!$F$10:$F$26,TK_theoTCTD!$B33,Danhsach1!J$10:J$26)</f>
        <v>52421353.401999995</v>
      </c>
    </row>
    <row r="34" spans="1:6" ht="15">
      <c r="A34" s="15" t="s">
        <v>219</v>
      </c>
      <c r="B34" s="16" t="str">
        <f>TCTD!C34</f>
        <v>Phát Triển Mê Kông (MDB)</v>
      </c>
      <c r="C34" s="19">
        <f>COUNTIF(Danhsach!$F$10:$F$314,TK_theoTCTD!B34)</f>
        <v>0</v>
      </c>
      <c r="D34" s="19">
        <f>SUMIF(Danhsach!$F$10:$F$314,TK_theoTCTD!$B34,Danhsach!H$10:H$314)+SUMIF(Danhsach1!$F$10:$F$26,TK_theoTCTD!$B34,Danhsach1!H$10:H$26)</f>
        <v>0</v>
      </c>
      <c r="E34" s="19">
        <f>SUMIF(Danhsach!$F$10:$F$314,TK_theoTCTD!$B34,Danhsach!I$10:I$314)+SUMIF(Danhsach1!$F$10:$F$26,TK_theoTCTD!$B34,Danhsach1!I$10:I$26)</f>
        <v>0</v>
      </c>
      <c r="F34" s="19">
        <f>SUMIF(Danhsach!$F$10:$F$314,TK_theoTCTD!$B34,Danhsach!J$10:J$314)+SUMIF(Danhsach1!$F$10:$F$26,TK_theoTCTD!$B34,Danhsach1!J$10:J$26)</f>
        <v>0</v>
      </c>
    </row>
    <row r="35" spans="1:6" ht="15">
      <c r="A35" s="15" t="s">
        <v>220</v>
      </c>
      <c r="B35" s="16" t="str">
        <f>TCTD!C35</f>
        <v>Phát triển Thành phố Hồ Chí Minh (HDBank)</v>
      </c>
      <c r="C35" s="19">
        <f>COUNTIF(Danhsach!$F$10:$F$314,TK_theoTCTD!B35)</f>
        <v>15</v>
      </c>
      <c r="D35" s="19">
        <f>SUMIF(Danhsach!$F$10:$F$314,TK_theoTCTD!$B35,Danhsach!H$10:H$314)+SUMIF(Danhsach1!$F$10:$F$26,TK_theoTCTD!$B35,Danhsach1!H$10:H$26)</f>
        <v>8495919</v>
      </c>
      <c r="E35" s="19">
        <f>SUMIF(Danhsach!$F$10:$F$314,TK_theoTCTD!$B35,Danhsach!I$10:I$314)+SUMIF(Danhsach1!$F$10:$F$26,TK_theoTCTD!$B35,Danhsach1!I$10:I$26)</f>
        <v>2364449</v>
      </c>
      <c r="F35" s="19">
        <f>SUMIF(Danhsach!$F$10:$F$314,TK_theoTCTD!$B35,Danhsach!J$10:J$314)+SUMIF(Danhsach1!$F$10:$F$26,TK_theoTCTD!$B35,Danhsach1!J$10:J$26)</f>
        <v>6131470</v>
      </c>
    </row>
    <row r="36" spans="1:6" ht="15">
      <c r="A36" s="15" t="s">
        <v>221</v>
      </c>
      <c r="B36" s="16" t="str">
        <f>TCTD!C36</f>
        <v>Phương Đông (Orient Commercial Bank, OCB)</v>
      </c>
      <c r="C36" s="19">
        <f>COUNTIF(Danhsach!$F$10:$F$314,TK_theoTCTD!B36)</f>
        <v>0</v>
      </c>
      <c r="D36" s="19">
        <f>SUMIF(Danhsach!$F$10:$F$314,TK_theoTCTD!$B36,Danhsach!H$10:H$314)+SUMIF(Danhsach1!$F$10:$F$26,TK_theoTCTD!$B36,Danhsach1!H$10:H$26)</f>
        <v>0</v>
      </c>
      <c r="E36" s="19">
        <f>SUMIF(Danhsach!$F$10:$F$314,TK_theoTCTD!$B36,Danhsach!I$10:I$314)+SUMIF(Danhsach1!$F$10:$F$26,TK_theoTCTD!$B36,Danhsach1!I$10:I$26)</f>
        <v>0</v>
      </c>
      <c r="F36" s="19">
        <f>SUMIF(Danhsach!$F$10:$F$314,TK_theoTCTD!$B36,Danhsach!J$10:J$314)+SUMIF(Danhsach1!$F$10:$F$26,TK_theoTCTD!$B36,Danhsach1!J$10:J$26)</f>
        <v>0</v>
      </c>
    </row>
    <row r="37" spans="1:6" ht="15">
      <c r="A37" s="15" t="s">
        <v>222</v>
      </c>
      <c r="B37" s="16" t="str">
        <f>TCTD!C37</f>
        <v>Phương Nam (PNB)</v>
      </c>
      <c r="C37" s="19">
        <f>COUNTIF(Danhsach!$F$10:$F$314,TK_theoTCTD!B37)</f>
        <v>0</v>
      </c>
      <c r="D37" s="19">
        <f>SUMIF(Danhsach!$F$10:$F$314,TK_theoTCTD!$B37,Danhsach!H$10:H$314)+SUMIF(Danhsach1!$F$10:$F$26,TK_theoTCTD!$B37,Danhsach1!H$10:H$26)</f>
        <v>0</v>
      </c>
      <c r="E37" s="19">
        <f>SUMIF(Danhsach!$F$10:$F$314,TK_theoTCTD!$B37,Danhsach!I$10:I$314)+SUMIF(Danhsach1!$F$10:$F$26,TK_theoTCTD!$B37,Danhsach1!I$10:I$26)</f>
        <v>0</v>
      </c>
      <c r="F37" s="19">
        <f>SUMIF(Danhsach!$F$10:$F$314,TK_theoTCTD!$B37,Danhsach!J$10:J$314)+SUMIF(Danhsach1!$F$10:$F$26,TK_theoTCTD!$B37,Danhsach1!J$10:J$26)</f>
        <v>0</v>
      </c>
    </row>
    <row r="38" spans="1:6" ht="15">
      <c r="A38" s="15" t="s">
        <v>223</v>
      </c>
      <c r="B38" s="16" t="str">
        <f>TCTD!C38</f>
        <v>Quân Đội (Military Bank, MB)</v>
      </c>
      <c r="C38" s="19">
        <f>COUNTIF(Danhsach!$F$10:$F$314,TK_theoTCTD!B38)</f>
        <v>0</v>
      </c>
      <c r="D38" s="19">
        <f>SUMIF(Danhsach!$F$10:$F$314,TK_theoTCTD!$B38,Danhsach!H$10:H$314)+SUMIF(Danhsach1!$F$10:$F$26,TK_theoTCTD!$B38,Danhsach1!H$10:H$26)</f>
        <v>0</v>
      </c>
      <c r="E38" s="19">
        <f>SUMIF(Danhsach!$F$10:$F$314,TK_theoTCTD!$B38,Danhsach!I$10:I$314)+SUMIF(Danhsach1!$F$10:$F$26,TK_theoTCTD!$B38,Danhsach1!I$10:I$26)</f>
        <v>0</v>
      </c>
      <c r="F38" s="19">
        <f>SUMIF(Danhsach!$F$10:$F$314,TK_theoTCTD!$B38,Danhsach!J$10:J$314)+SUMIF(Danhsach1!$F$10:$F$26,TK_theoTCTD!$B38,Danhsach1!J$10:J$26)</f>
        <v>0</v>
      </c>
    </row>
    <row r="39" spans="1:6" ht="15">
      <c r="A39" s="15" t="s">
        <v>224</v>
      </c>
      <c r="B39" s="16" t="str">
        <f>TCTD!C39</f>
        <v>Quốc Dân (National Citizen Bank, NVB)</v>
      </c>
      <c r="C39" s="19">
        <f>COUNTIF(Danhsach!$F$10:$F$314,TK_theoTCTD!B39)</f>
        <v>0</v>
      </c>
      <c r="D39" s="19">
        <f>SUMIF(Danhsach!$F$10:$F$314,TK_theoTCTD!$B39,Danhsach!H$10:H$314)+SUMIF(Danhsach1!$F$10:$F$26,TK_theoTCTD!$B39,Danhsach1!H$10:H$26)</f>
        <v>0</v>
      </c>
      <c r="E39" s="19">
        <f>SUMIF(Danhsach!$F$10:$F$314,TK_theoTCTD!$B39,Danhsach!I$10:I$314)+SUMIF(Danhsach1!$F$10:$F$26,TK_theoTCTD!$B39,Danhsach1!I$10:I$26)</f>
        <v>0</v>
      </c>
      <c r="F39" s="19">
        <f>SUMIF(Danhsach!$F$10:$F$314,TK_theoTCTD!$B39,Danhsach!J$10:J$314)+SUMIF(Danhsach1!$F$10:$F$26,TK_theoTCTD!$B39,Danhsach1!J$10:J$26)</f>
        <v>0</v>
      </c>
    </row>
    <row r="40" spans="1:6" ht="15">
      <c r="A40" s="15" t="s">
        <v>225</v>
      </c>
      <c r="B40" s="16" t="str">
        <f>TCTD!C40</f>
        <v>Quốc tế (VIBBank, VIB)</v>
      </c>
      <c r="C40" s="19">
        <f>COUNTIF(Danhsach!$F$10:$F$314,TK_theoTCTD!B40)</f>
        <v>0</v>
      </c>
      <c r="D40" s="19">
        <f>SUMIF(Danhsach!$F$10:$F$314,TK_theoTCTD!$B40,Danhsach!H$10:H$314)+SUMIF(Danhsach1!$F$10:$F$26,TK_theoTCTD!$B40,Danhsach1!H$10:H$26)</f>
        <v>0</v>
      </c>
      <c r="E40" s="19">
        <f>SUMIF(Danhsach!$F$10:$F$314,TK_theoTCTD!$B40,Danhsach!I$10:I$314)+SUMIF(Danhsach1!$F$10:$F$26,TK_theoTCTD!$B40,Danhsach1!I$10:I$26)</f>
        <v>0</v>
      </c>
      <c r="F40" s="19">
        <f>SUMIF(Danhsach!$F$10:$F$314,TK_theoTCTD!$B40,Danhsach!J$10:J$314)+SUMIF(Danhsach1!$F$10:$F$26,TK_theoTCTD!$B40,Danhsach1!J$10:J$26)</f>
        <v>0</v>
      </c>
    </row>
    <row r="41" spans="1:6" ht="15">
      <c r="A41" s="15" t="s">
        <v>226</v>
      </c>
      <c r="B41" s="16" t="str">
        <f>TCTD!C41</f>
        <v>Sài Gòn (Sài Gòn, SCB)</v>
      </c>
      <c r="C41" s="19">
        <f>COUNTIF(Danhsach!$F$10:$F$314,TK_theoTCTD!B41)</f>
        <v>0</v>
      </c>
      <c r="D41" s="19">
        <f>SUMIF(Danhsach!$F$10:$F$314,TK_theoTCTD!$B41,Danhsach!H$10:H$314)+SUMIF(Danhsach1!$F$10:$F$26,TK_theoTCTD!$B41,Danhsach1!H$10:H$26)</f>
        <v>0</v>
      </c>
      <c r="E41" s="19">
        <f>SUMIF(Danhsach!$F$10:$F$314,TK_theoTCTD!$B41,Danhsach!I$10:I$314)+SUMIF(Danhsach1!$F$10:$F$26,TK_theoTCTD!$B41,Danhsach1!I$10:I$26)</f>
        <v>0</v>
      </c>
      <c r="F41" s="19">
        <f>SUMIF(Danhsach!$F$10:$F$314,TK_theoTCTD!$B41,Danhsach!J$10:J$314)+SUMIF(Danhsach1!$F$10:$F$26,TK_theoTCTD!$B41,Danhsach1!J$10:J$26)</f>
        <v>0</v>
      </c>
    </row>
    <row r="42" spans="1:6" ht="15">
      <c r="A42" s="15" t="s">
        <v>227</v>
      </c>
      <c r="B42" s="16" t="str">
        <f>TCTD!C42</f>
        <v>Sài Gòn Công Thương (Saigonbank)</v>
      </c>
      <c r="C42" s="19">
        <f>COUNTIF(Danhsach!$F$10:$F$314,TK_theoTCTD!B42)</f>
        <v>0</v>
      </c>
      <c r="D42" s="19">
        <f>SUMIF(Danhsach!$F$10:$F$314,TK_theoTCTD!$B42,Danhsach!H$10:H$314)+SUMIF(Danhsach1!$F$10:$F$26,TK_theoTCTD!$B42,Danhsach1!H$10:H$26)</f>
        <v>0</v>
      </c>
      <c r="E42" s="19">
        <f>SUMIF(Danhsach!$F$10:$F$314,TK_theoTCTD!$B42,Danhsach!I$10:I$314)+SUMIF(Danhsach1!$F$10:$F$26,TK_theoTCTD!$B42,Danhsach1!I$10:I$26)</f>
        <v>0</v>
      </c>
      <c r="F42" s="19">
        <f>SUMIF(Danhsach!$F$10:$F$314,TK_theoTCTD!$B42,Danhsach!J$10:J$314)+SUMIF(Danhsach1!$F$10:$F$26,TK_theoTCTD!$B42,Danhsach1!J$10:J$26)</f>
        <v>0</v>
      </c>
    </row>
    <row r="43" spans="1:6" ht="15">
      <c r="A43" s="15" t="s">
        <v>228</v>
      </c>
      <c r="B43" s="16" t="str">
        <f>TCTD!C43</f>
        <v>Sài Gòn Thương Tín (Sacombank)</v>
      </c>
      <c r="C43" s="19">
        <f>COUNTIF(Danhsach!$F$10:$F$314,TK_theoTCTD!B43)</f>
        <v>24</v>
      </c>
      <c r="D43" s="19">
        <f>SUMIF(Danhsach!$F$10:$F$314,TK_theoTCTD!$B43,Danhsach!H$10:H$314)+SUMIF(Danhsach1!$F$10:$F$26,TK_theoTCTD!$B43,Danhsach1!H$10:H$26)</f>
        <v>5738104</v>
      </c>
      <c r="E43" s="19">
        <f>SUMIF(Danhsach!$F$10:$F$314,TK_theoTCTD!$B43,Danhsach!I$10:I$314)+SUMIF(Danhsach1!$F$10:$F$26,TK_theoTCTD!$B43,Danhsach1!I$10:I$26)</f>
        <v>3857773</v>
      </c>
      <c r="F43" s="19">
        <f>SUMIF(Danhsach!$F$10:$F$314,TK_theoTCTD!$B43,Danhsach!J$10:J$314)+SUMIF(Danhsach1!$F$10:$F$26,TK_theoTCTD!$B43,Danhsach1!J$10:J$26)</f>
        <v>1880331</v>
      </c>
    </row>
    <row r="44" spans="1:6" ht="15">
      <c r="A44" s="15" t="s">
        <v>229</v>
      </c>
      <c r="B44" s="16" t="str">
        <f>TCTD!C44</f>
        <v>Sài Gòn-Hà Nội (SHBank, SHB)</v>
      </c>
      <c r="C44" s="19">
        <f>COUNTIF(Danhsach!$F$10:$F$314,TK_theoTCTD!B44)</f>
        <v>1</v>
      </c>
      <c r="D44" s="19">
        <f>SUMIF(Danhsach!$F$10:$F$314,TK_theoTCTD!$B44,Danhsach!H$10:H$314)+SUMIF(Danhsach1!$F$10:$F$26,TK_theoTCTD!$B44,Danhsach1!H$10:H$26)</f>
        <v>16706736</v>
      </c>
      <c r="E44" s="19">
        <f>SUMIF(Danhsach!$F$10:$F$314,TK_theoTCTD!$B44,Danhsach!I$10:I$314)+SUMIF(Danhsach1!$F$10:$F$26,TK_theoTCTD!$B44,Danhsach1!I$10:I$26)</f>
        <v>0</v>
      </c>
      <c r="F44" s="19">
        <f>SUMIF(Danhsach!$F$10:$F$314,TK_theoTCTD!$B44,Danhsach!J$10:J$314)+SUMIF(Danhsach1!$F$10:$F$26,TK_theoTCTD!$B44,Danhsach1!J$10:J$26)</f>
        <v>16706736</v>
      </c>
    </row>
    <row r="45" spans="1:6" ht="15">
      <c r="A45" s="15" t="s">
        <v>230</v>
      </c>
      <c r="B45" s="16" t="str">
        <f>TCTD!C45</f>
        <v>Tiên Phong (Tien Phong Bank, TP Bank)</v>
      </c>
      <c r="C45" s="19">
        <f>COUNTIF(Danhsach!$F$10:$F$314,TK_theoTCTD!B45)</f>
        <v>0</v>
      </c>
      <c r="D45" s="19">
        <f>SUMIF(Danhsach!$F$10:$F$314,TK_theoTCTD!$B45,Danhsach!H$10:H$314)+SUMIF(Danhsach1!$F$10:$F$26,TK_theoTCTD!$B45,Danhsach1!H$10:H$26)</f>
        <v>0</v>
      </c>
      <c r="E45" s="19">
        <f>SUMIF(Danhsach!$F$10:$F$314,TK_theoTCTD!$B45,Danhsach!I$10:I$314)+SUMIF(Danhsach1!$F$10:$F$26,TK_theoTCTD!$B45,Danhsach1!I$10:I$26)</f>
        <v>0</v>
      </c>
      <c r="F45" s="19">
        <f>SUMIF(Danhsach!$F$10:$F$314,TK_theoTCTD!$B45,Danhsach!J$10:J$314)+SUMIF(Danhsach1!$F$10:$F$26,TK_theoTCTD!$B45,Danhsach1!J$10:J$26)</f>
        <v>0</v>
      </c>
    </row>
    <row r="46" spans="1:6" ht="15">
      <c r="A46" s="15" t="s">
        <v>231</v>
      </c>
      <c r="B46" s="16" t="str">
        <f>TCTD!C46</f>
        <v>Việt Á (VietABank, VAB)</v>
      </c>
      <c r="C46" s="19">
        <f>COUNTIF(Danhsach!$F$10:$F$314,TK_theoTCTD!B46)</f>
        <v>0</v>
      </c>
      <c r="D46" s="19">
        <f>SUMIF(Danhsach!$F$10:$F$314,TK_theoTCTD!$B46,Danhsach!H$10:H$314)+SUMIF(Danhsach1!$F$10:$F$26,TK_theoTCTD!$B46,Danhsach1!H$10:H$26)</f>
        <v>0</v>
      </c>
      <c r="E46" s="19">
        <f>SUMIF(Danhsach!$F$10:$F$314,TK_theoTCTD!$B46,Danhsach!I$10:I$314)+SUMIF(Danhsach1!$F$10:$F$26,TK_theoTCTD!$B46,Danhsach1!I$10:I$26)</f>
        <v>0</v>
      </c>
      <c r="F46" s="19">
        <f>SUMIF(Danhsach!$F$10:$F$314,TK_theoTCTD!$B46,Danhsach!J$10:J$314)+SUMIF(Danhsach1!$F$10:$F$26,TK_theoTCTD!$B46,Danhsach1!J$10:J$26)</f>
        <v>0</v>
      </c>
    </row>
    <row r="47" spans="1:6" ht="15">
      <c r="A47" s="15" t="s">
        <v>232</v>
      </c>
      <c r="B47" s="16" t="str">
        <f>TCTD!C47</f>
        <v>Việt Nam Thịnh Vượng (VPBank)</v>
      </c>
      <c r="C47" s="19">
        <f>COUNTIF(Danhsach!$F$10:$F$314,TK_theoTCTD!B47)</f>
        <v>2</v>
      </c>
      <c r="D47" s="19">
        <f>SUMIF(Danhsach!$F$10:$F$314,TK_theoTCTD!$B47,Danhsach!H$10:H$314)+SUMIF(Danhsach1!$F$10:$F$26,TK_theoTCTD!$B47,Danhsach1!H$10:H$26)</f>
        <v>1769330</v>
      </c>
      <c r="E47" s="19">
        <f>SUMIF(Danhsach!$F$10:$F$314,TK_theoTCTD!$B47,Danhsach!I$10:I$314)+SUMIF(Danhsach1!$F$10:$F$26,TK_theoTCTD!$B47,Danhsach1!I$10:I$26)</f>
        <v>0</v>
      </c>
      <c r="F47" s="19">
        <f>SUMIF(Danhsach!$F$10:$F$314,TK_theoTCTD!$B47,Danhsach!J$10:J$314)+SUMIF(Danhsach1!$F$10:$F$26,TK_theoTCTD!$B47,Danhsach1!J$10:J$26)</f>
        <v>1769330</v>
      </c>
    </row>
    <row r="48" spans="1:6" ht="15">
      <c r="A48" s="15" t="s">
        <v>234</v>
      </c>
      <c r="B48" s="16" t="str">
        <f>TCTD!C48</f>
        <v>Việt Nam Thương Tín (VietBank)</v>
      </c>
      <c r="C48" s="19">
        <f>COUNTIF(Danhsach!$F$10:$F$314,TK_theoTCTD!B48)</f>
        <v>0</v>
      </c>
      <c r="D48" s="19">
        <f>SUMIF(Danhsach!$F$10:$F$314,TK_theoTCTD!$B48,Danhsach!H$10:H$314)+SUMIF(Danhsach1!$F$10:$F$26,TK_theoTCTD!$B48,Danhsach1!H$10:H$26)</f>
        <v>0</v>
      </c>
      <c r="E48" s="19">
        <f>SUMIF(Danhsach!$F$10:$F$314,TK_theoTCTD!$B48,Danhsach!I$10:I$314)+SUMIF(Danhsach1!$F$10:$F$26,TK_theoTCTD!$B48,Danhsach1!I$10:I$26)</f>
        <v>0</v>
      </c>
      <c r="F48" s="19">
        <f>SUMIF(Danhsach!$F$10:$F$314,TK_theoTCTD!$B48,Danhsach!J$10:J$314)+SUMIF(Danhsach1!$F$10:$F$26,TK_theoTCTD!$B48,Danhsach1!J$10:J$26)</f>
        <v>0</v>
      </c>
    </row>
    <row r="49" spans="1:6" ht="15">
      <c r="A49" s="15" t="s">
        <v>235</v>
      </c>
      <c r="B49" s="16" t="str">
        <f>TCTD!C49</f>
        <v>Xăng dầu Petrolimex (Petrolimex Group Bank, PG Bank)</v>
      </c>
      <c r="C49" s="19">
        <f>COUNTIF(Danhsach!$F$10:$F$314,TK_theoTCTD!B49)</f>
        <v>0</v>
      </c>
      <c r="D49" s="19">
        <f>SUMIF(Danhsach!$F$10:$F$314,TK_theoTCTD!$B49,Danhsach!H$10:H$314)+SUMIF(Danhsach1!$F$10:$F$26,TK_theoTCTD!$B49,Danhsach1!H$10:H$26)</f>
        <v>0</v>
      </c>
      <c r="E49" s="19">
        <f>SUMIF(Danhsach!$F$10:$F$314,TK_theoTCTD!$B49,Danhsach!I$10:I$314)+SUMIF(Danhsach1!$F$10:$F$26,TK_theoTCTD!$B49,Danhsach1!I$10:I$26)</f>
        <v>0</v>
      </c>
      <c r="F49" s="19">
        <f>SUMIF(Danhsach!$F$10:$F$314,TK_theoTCTD!$B49,Danhsach!J$10:J$314)+SUMIF(Danhsach1!$F$10:$F$26,TK_theoTCTD!$B49,Danhsach1!J$10:J$26)</f>
        <v>0</v>
      </c>
    </row>
    <row r="50" spans="1:6" ht="15">
      <c r="A50" s="15" t="s">
        <v>236</v>
      </c>
      <c r="B50" s="16" t="str">
        <f>TCTD!C50</f>
        <v>Xuất Nhập Khẩu Việt Nam (Eximbank, EIB)</v>
      </c>
      <c r="C50" s="19">
        <f>COUNTIF(Danhsach!$F$10:$F$314,TK_theoTCTD!B50)</f>
        <v>0</v>
      </c>
      <c r="D50" s="19">
        <f>SUMIF(Danhsach!$F$10:$F$314,TK_theoTCTD!$B50,Danhsach!H$10:H$314)+SUMIF(Danhsach1!$F$10:$F$26,TK_theoTCTD!$B50,Danhsach1!H$10:H$26)</f>
        <v>0</v>
      </c>
      <c r="E50" s="19">
        <f>SUMIF(Danhsach!$F$10:$F$314,TK_theoTCTD!$B50,Danhsach!I$10:I$314)+SUMIF(Danhsach1!$F$10:$F$26,TK_theoTCTD!$B50,Danhsach1!I$10:I$26)</f>
        <v>0</v>
      </c>
      <c r="F50" s="19">
        <f>SUMIF(Danhsach!$F$10:$F$314,TK_theoTCTD!$B50,Danhsach!J$10:J$314)+SUMIF(Danhsach1!$F$10:$F$26,TK_theoTCTD!$B50,Danhsach1!J$10:J$26)</f>
        <v>0</v>
      </c>
    </row>
    <row r="51" spans="1:6" ht="15">
      <c r="A51" s="13">
        <v>5</v>
      </c>
      <c r="B51" s="14" t="str">
        <f>TCTD!C51</f>
        <v>=:Ngân hàng 100% vốn nước ngoài:=</v>
      </c>
      <c r="C51" s="18">
        <f>SUM(C52:C56)</f>
        <v>0</v>
      </c>
      <c r="D51" s="18">
        <f>SUM(D52:D56)</f>
        <v>0</v>
      </c>
      <c r="E51" s="18">
        <f>SUM(E52:E56)</f>
        <v>0</v>
      </c>
      <c r="F51" s="18">
        <f>SUM(F52:F56)</f>
        <v>0</v>
      </c>
    </row>
    <row r="52" spans="1:6" ht="15">
      <c r="A52" s="15" t="s">
        <v>75</v>
      </c>
      <c r="B52" s="16" t="str">
        <f>TCTD!C52</f>
        <v>ANZ Việt Nam (ANZVL)</v>
      </c>
      <c r="C52" s="19">
        <f>COUNTIF(Danhsach!$F$10:$F$314,TK_theoTCTD!B52)</f>
        <v>0</v>
      </c>
      <c r="D52" s="19">
        <f>SUMIF(Danhsach!$F$10:$F$314,TK_theoTCTD!$B52,Danhsach!H$10:H$314)+SUMIF(Danhsach1!$F$10:$F$26,TK_theoTCTD!$B52,Danhsach1!H$10:H$26)</f>
        <v>0</v>
      </c>
      <c r="E52" s="19">
        <f>SUMIF(Danhsach!$F$10:$F$314,TK_theoTCTD!$B52,Danhsach!I$10:I$314)+SUMIF(Danhsach1!$F$10:$F$26,TK_theoTCTD!$B52,Danhsach1!I$10:I$26)</f>
        <v>0</v>
      </c>
      <c r="F52" s="19">
        <f>SUMIF(Danhsach!$F$10:$F$314,TK_theoTCTD!$B52,Danhsach!J$10:J$314)+SUMIF(Danhsach1!$F$10:$F$26,TK_theoTCTD!$B52,Danhsach1!J$10:J$26)</f>
        <v>0</v>
      </c>
    </row>
    <row r="53" spans="1:6" ht="15">
      <c r="A53" s="15" t="s">
        <v>76</v>
      </c>
      <c r="B53" s="16" t="str">
        <f>TCTD!C53</f>
        <v>Hong Leong Việt Nam (HLBVN)</v>
      </c>
      <c r="C53" s="19">
        <f>COUNTIF(Danhsach!$F$10:$F$314,TK_theoTCTD!B53)</f>
        <v>0</v>
      </c>
      <c r="D53" s="19">
        <f>SUMIF(Danhsach!$F$10:$F$314,TK_theoTCTD!$B53,Danhsach!H$10:H$314)+SUMIF(Danhsach1!$F$10:$F$26,TK_theoTCTD!$B53,Danhsach1!H$10:H$26)</f>
        <v>0</v>
      </c>
      <c r="E53" s="19">
        <f>SUMIF(Danhsach!$F$10:$F$314,TK_theoTCTD!$B53,Danhsach!I$10:I$314)+SUMIF(Danhsach1!$F$10:$F$26,TK_theoTCTD!$B53,Danhsach1!I$10:I$26)</f>
        <v>0</v>
      </c>
      <c r="F53" s="19">
        <f>SUMIF(Danhsach!$F$10:$F$314,TK_theoTCTD!$B53,Danhsach!J$10:J$314)+SUMIF(Danhsach1!$F$10:$F$26,TK_theoTCTD!$B53,Danhsach1!J$10:J$26)</f>
        <v>0</v>
      </c>
    </row>
    <row r="54" spans="1:6" ht="15">
      <c r="A54" s="15" t="s">
        <v>77</v>
      </c>
      <c r="B54" s="16" t="str">
        <f>TCTD!C54</f>
        <v>HSBC Việt Nam (HSBC)</v>
      </c>
      <c r="C54" s="19">
        <f>COUNTIF(Danhsach!$F$10:$F$314,TK_theoTCTD!B54)</f>
        <v>0</v>
      </c>
      <c r="D54" s="19">
        <f>SUMIF(Danhsach!$F$10:$F$314,TK_theoTCTD!$B54,Danhsach!H$10:H$314)+SUMIF(Danhsach1!$F$10:$F$26,TK_theoTCTD!$B54,Danhsach1!H$10:H$26)</f>
        <v>0</v>
      </c>
      <c r="E54" s="19">
        <f>SUMIF(Danhsach!$F$10:$F$314,TK_theoTCTD!$B54,Danhsach!I$10:I$314)+SUMIF(Danhsach1!$F$10:$F$26,TK_theoTCTD!$B54,Danhsach1!I$10:I$26)</f>
        <v>0</v>
      </c>
      <c r="F54" s="19">
        <f>SUMIF(Danhsach!$F$10:$F$314,TK_theoTCTD!$B54,Danhsach!J$10:J$314)+SUMIF(Danhsach1!$F$10:$F$26,TK_theoTCTD!$B54,Danhsach1!J$10:J$26)</f>
        <v>0</v>
      </c>
    </row>
    <row r="55" spans="1:6" ht="15">
      <c r="A55" s="15" t="s">
        <v>78</v>
      </c>
      <c r="B55" s="16" t="str">
        <f>TCTD!C55</f>
        <v>Shinhan Việt Nam (SHBVN)</v>
      </c>
      <c r="C55" s="19">
        <f>COUNTIF(Danhsach!$F$10:$F$314,TK_theoTCTD!B55)</f>
        <v>0</v>
      </c>
      <c r="D55" s="19">
        <f>SUMIF(Danhsach!$F$10:$F$314,TK_theoTCTD!$B55,Danhsach!H$10:H$314)+SUMIF(Danhsach1!$F$10:$F$26,TK_theoTCTD!$B55,Danhsach1!H$10:H$26)</f>
        <v>0</v>
      </c>
      <c r="E55" s="19">
        <f>SUMIF(Danhsach!$F$10:$F$314,TK_theoTCTD!$B55,Danhsach!I$10:I$314)+SUMIF(Danhsach1!$F$10:$F$26,TK_theoTCTD!$B55,Danhsach1!I$10:I$26)</f>
        <v>0</v>
      </c>
      <c r="F55" s="19">
        <f>SUMIF(Danhsach!$F$10:$F$314,TK_theoTCTD!$B55,Danhsach!J$10:J$314)+SUMIF(Danhsach1!$F$10:$F$26,TK_theoTCTD!$B55,Danhsach1!J$10:J$26)</f>
        <v>0</v>
      </c>
    </row>
    <row r="56" spans="1:6" ht="15">
      <c r="A56" s="15" t="s">
        <v>79</v>
      </c>
      <c r="B56" s="16" t="str">
        <f>TCTD!C56</f>
        <v>Standard Chartered Việt Nam (SCBVL)</v>
      </c>
      <c r="C56" s="19">
        <f>COUNTIF(Danhsach!$F$10:$F$314,TK_theoTCTD!B56)</f>
        <v>0</v>
      </c>
      <c r="D56" s="19">
        <f>SUMIF(Danhsach!$F$10:$F$314,TK_theoTCTD!$B56,Danhsach!H$10:H$314)+SUMIF(Danhsach1!$F$10:$F$26,TK_theoTCTD!$B56,Danhsach1!H$10:H$26)</f>
        <v>0</v>
      </c>
      <c r="E56" s="19">
        <f>SUMIF(Danhsach!$F$10:$F$314,TK_theoTCTD!$B56,Danhsach!I$10:I$314)+SUMIF(Danhsach1!$F$10:$F$26,TK_theoTCTD!$B56,Danhsach1!I$10:I$26)</f>
        <v>0</v>
      </c>
      <c r="F56" s="19">
        <f>SUMIF(Danhsach!$F$10:$F$314,TK_theoTCTD!$B56,Danhsach!J$10:J$314)+SUMIF(Danhsach1!$F$10:$F$26,TK_theoTCTD!$B56,Danhsach1!J$10:J$26)</f>
        <v>0</v>
      </c>
    </row>
    <row r="57" spans="1:6" ht="15">
      <c r="A57" s="13">
        <v>5</v>
      </c>
      <c r="B57" s="14" t="str">
        <f>TCTD!C57</f>
        <v>=:Ngân hàng liên doanh:=</v>
      </c>
      <c r="C57" s="18">
        <f>SUM(C58:C61)</f>
        <v>0</v>
      </c>
      <c r="D57" s="18">
        <f>SUM(D58:D61)</f>
        <v>0</v>
      </c>
      <c r="E57" s="18">
        <f>SUM(E58:E61)</f>
        <v>0</v>
      </c>
      <c r="F57" s="18">
        <f>SUM(F58:F61)</f>
        <v>0</v>
      </c>
    </row>
    <row r="58" spans="1:6" ht="15">
      <c r="A58" s="15" t="s">
        <v>84</v>
      </c>
      <c r="B58" s="16" t="str">
        <f>TCTD!C58</f>
        <v>Indovina (IVB)</v>
      </c>
      <c r="C58" s="19">
        <f>COUNTIF(Danhsach!$F$10:$F$314,TK_theoTCTD!B58)</f>
        <v>0</v>
      </c>
      <c r="D58" s="19">
        <f>SUMIF(Danhsach!$F$10:$F$314,TK_theoTCTD!$B58,Danhsach!H$10:H$314)+SUMIF(Danhsach1!$F$10:$F$26,TK_theoTCTD!$B58,Danhsach1!H$10:H$26)</f>
        <v>0</v>
      </c>
      <c r="E58" s="19">
        <f>SUMIF(Danhsach!$F$10:$F$314,TK_theoTCTD!$B58,Danhsach!I$10:I$314)+SUMIF(Danhsach1!$F$10:$F$26,TK_theoTCTD!$B58,Danhsach1!I$10:I$26)</f>
        <v>0</v>
      </c>
      <c r="F58" s="19">
        <f>SUMIF(Danhsach!$F$10:$F$314,TK_theoTCTD!$B58,Danhsach!J$10:J$314)+SUMIF(Danhsach1!$F$10:$F$26,TK_theoTCTD!$B58,Danhsach1!J$10:J$26)</f>
        <v>0</v>
      </c>
    </row>
    <row r="59" spans="1:6" ht="15">
      <c r="A59" s="15" t="s">
        <v>85</v>
      </c>
      <c r="B59" s="16" t="str">
        <f>TCTD!C59</f>
        <v>VID Public Bank</v>
      </c>
      <c r="C59" s="19">
        <f>COUNTIF(Danhsach!$F$10:$F$314,TK_theoTCTD!B59)</f>
        <v>0</v>
      </c>
      <c r="D59" s="19">
        <f>SUMIF(Danhsach!$F$10:$F$314,TK_theoTCTD!$B59,Danhsach!H$10:H$314)+SUMIF(Danhsach1!$F$10:$F$26,TK_theoTCTD!$B59,Danhsach1!H$10:H$26)</f>
        <v>0</v>
      </c>
      <c r="E59" s="19">
        <f>SUMIF(Danhsach!$F$10:$F$314,TK_theoTCTD!$B59,Danhsach!I$10:I$314)+SUMIF(Danhsach1!$F$10:$F$26,TK_theoTCTD!$B59,Danhsach1!I$10:I$26)</f>
        <v>0</v>
      </c>
      <c r="F59" s="19">
        <f>SUMIF(Danhsach!$F$10:$F$314,TK_theoTCTD!$B59,Danhsach!J$10:J$314)+SUMIF(Danhsach1!$F$10:$F$26,TK_theoTCTD!$B59,Danhsach1!J$10:J$26)</f>
        <v>0</v>
      </c>
    </row>
    <row r="60" spans="1:6" ht="15">
      <c r="A60" s="15" t="s">
        <v>86</v>
      </c>
      <c r="B60" s="16" t="str">
        <f>TCTD!C60</f>
        <v>Việt – Nga (VRB)</v>
      </c>
      <c r="C60" s="19">
        <f>COUNTIF(Danhsach!$F$10:$F$314,TK_theoTCTD!B60)</f>
        <v>0</v>
      </c>
      <c r="D60" s="19">
        <f>SUMIF(Danhsach!$F$10:$F$314,TK_theoTCTD!$B60,Danhsach!H$10:H$314)+SUMIF(Danhsach1!$F$10:$F$26,TK_theoTCTD!$B60,Danhsach1!H$10:H$26)</f>
        <v>0</v>
      </c>
      <c r="E60" s="19">
        <f>SUMIF(Danhsach!$F$10:$F$314,TK_theoTCTD!$B60,Danhsach!I$10:I$314)+SUMIF(Danhsach1!$F$10:$F$26,TK_theoTCTD!$B60,Danhsach1!I$10:I$26)</f>
        <v>0</v>
      </c>
      <c r="F60" s="19">
        <f>SUMIF(Danhsach!$F$10:$F$314,TK_theoTCTD!$B60,Danhsach!J$10:J$314)+SUMIF(Danhsach1!$F$10:$F$26,TK_theoTCTD!$B60,Danhsach1!J$10:J$26)</f>
        <v>0</v>
      </c>
    </row>
    <row r="61" spans="1:6" ht="15">
      <c r="A61" s="15" t="s">
        <v>87</v>
      </c>
      <c r="B61" s="16" t="str">
        <f>TCTD!C61</f>
        <v>Việt – Thái (VSB)</v>
      </c>
      <c r="C61" s="19">
        <f>COUNTIF(Danhsach!$F$10:$F$314,TK_theoTCTD!B61)</f>
        <v>0</v>
      </c>
      <c r="D61" s="19">
        <f>SUMIF(Danhsach!$F$10:$F$314,TK_theoTCTD!$B61,Danhsach!H$10:H$314)+SUMIF(Danhsach1!$F$10:$F$26,TK_theoTCTD!$B61,Danhsach1!H$10:H$26)</f>
        <v>0</v>
      </c>
      <c r="E61" s="19">
        <f>SUMIF(Danhsach!$F$10:$F$314,TK_theoTCTD!$B61,Danhsach!I$10:I$314)+SUMIF(Danhsach1!$F$10:$F$26,TK_theoTCTD!$B61,Danhsach1!I$10:I$26)</f>
        <v>0</v>
      </c>
      <c r="F61" s="19">
        <f>SUMIF(Danhsach!$F$10:$F$314,TK_theoTCTD!$B61,Danhsach!J$10:J$314)+SUMIF(Danhsach1!$F$10:$F$26,TK_theoTCTD!$B61,Danhsach1!J$10:J$26)</f>
        <v>0</v>
      </c>
    </row>
    <row r="62" spans="1:6" ht="15">
      <c r="A62" s="13">
        <v>7</v>
      </c>
      <c r="B62" s="14" t="str">
        <f>TCTD!C62</f>
        <v>=:Công ty tài chính:=</v>
      </c>
      <c r="C62" s="18">
        <f>SUM(C63:C79)</f>
        <v>4</v>
      </c>
      <c r="D62" s="18">
        <f>SUM(D63:D79)</f>
        <v>812837</v>
      </c>
      <c r="E62" s="18">
        <f>SUM(E63:E79)</f>
        <v>12000</v>
      </c>
      <c r="F62" s="18">
        <f>SUM(F63:F79)</f>
        <v>800837</v>
      </c>
    </row>
    <row r="63" spans="1:6" ht="15">
      <c r="A63" s="15" t="s">
        <v>268</v>
      </c>
      <c r="B63" s="16" t="str">
        <f>TCTD!C63</f>
        <v>Công ty tài chính cổ phần Điện Lực</v>
      </c>
      <c r="C63" s="19">
        <f>COUNTIF(Danhsach!$F$10:$F$314,TK_theoTCTD!B63)</f>
        <v>0</v>
      </c>
      <c r="D63" s="19">
        <f>SUMIF(Danhsach!$F$10:$F$314,TK_theoTCTD!$B63,Danhsach!H$10:H$314)+SUMIF(Danhsach1!$F$10:$F$26,TK_theoTCTD!$B63,Danhsach1!H$10:H$26)</f>
        <v>0</v>
      </c>
      <c r="E63" s="19">
        <f>SUMIF(Danhsach!$F$10:$F$314,TK_theoTCTD!$B63,Danhsach!I$10:I$314)+SUMIF(Danhsach1!$F$10:$F$26,TK_theoTCTD!$B63,Danhsach1!I$10:I$26)</f>
        <v>0</v>
      </c>
      <c r="F63" s="19">
        <f>SUMIF(Danhsach!$F$10:$F$314,TK_theoTCTD!$B63,Danhsach!J$10:J$314)+SUMIF(Danhsach1!$F$10:$F$26,TK_theoTCTD!$B63,Danhsach1!J$10:J$26)</f>
        <v>0</v>
      </c>
    </row>
    <row r="64" spans="1:6" ht="15">
      <c r="A64" s="15" t="s">
        <v>269</v>
      </c>
      <c r="B64" s="16" t="str">
        <f>TCTD!C64</f>
        <v>Công ty tài chính cổ phần Handico</v>
      </c>
      <c r="C64" s="19">
        <f>COUNTIF(Danhsach!$F$10:$F$314,TK_theoTCTD!B64)</f>
        <v>0</v>
      </c>
      <c r="D64" s="19">
        <f>SUMIF(Danhsach!$F$10:$F$314,TK_theoTCTD!$B64,Danhsach!H$10:H$314)+SUMIF(Danhsach1!$F$10:$F$26,TK_theoTCTD!$B64,Danhsach1!H$10:H$26)</f>
        <v>0</v>
      </c>
      <c r="E64" s="19">
        <f>SUMIF(Danhsach!$F$10:$F$314,TK_theoTCTD!$B64,Danhsach!I$10:I$314)+SUMIF(Danhsach1!$F$10:$F$26,TK_theoTCTD!$B64,Danhsach1!I$10:I$26)</f>
        <v>0</v>
      </c>
      <c r="F64" s="19">
        <f>SUMIF(Danhsach!$F$10:$F$314,TK_theoTCTD!$B64,Danhsach!J$10:J$314)+SUMIF(Danhsach1!$F$10:$F$26,TK_theoTCTD!$B64,Danhsach1!J$10:J$26)</f>
        <v>0</v>
      </c>
    </row>
    <row r="65" spans="1:6" ht="15">
      <c r="A65" s="15" t="s">
        <v>281</v>
      </c>
      <c r="B65" s="16" t="str">
        <f>TCTD!C65</f>
        <v>Công ty tài chính cổ phần Sông Đà </v>
      </c>
      <c r="C65" s="19">
        <f>COUNTIF(Danhsach!$F$10:$F$314,TK_theoTCTD!B65)</f>
        <v>0</v>
      </c>
      <c r="D65" s="19">
        <f>SUMIF(Danhsach!$F$10:$F$314,TK_theoTCTD!$B65,Danhsach!H$10:H$314)+SUMIF(Danhsach1!$F$10:$F$26,TK_theoTCTD!$B65,Danhsach1!H$10:H$26)</f>
        <v>0</v>
      </c>
      <c r="E65" s="19">
        <f>SUMIF(Danhsach!$F$10:$F$314,TK_theoTCTD!$B65,Danhsach!I$10:I$314)+SUMIF(Danhsach1!$F$10:$F$26,TK_theoTCTD!$B65,Danhsach1!I$10:I$26)</f>
        <v>0</v>
      </c>
      <c r="F65" s="19">
        <f>SUMIF(Danhsach!$F$10:$F$314,TK_theoTCTD!$B65,Danhsach!J$10:J$314)+SUMIF(Danhsach1!$F$10:$F$26,TK_theoTCTD!$B65,Danhsach1!J$10:J$26)</f>
        <v>0</v>
      </c>
    </row>
    <row r="66" spans="1:6" ht="15">
      <c r="A66" s="15" t="s">
        <v>282</v>
      </c>
      <c r="B66" s="16" t="str">
        <f>TCTD!C66</f>
        <v>Công ty tài chính cổ phần Vinaconex-Viettel</v>
      </c>
      <c r="C66" s="19">
        <f>COUNTIF(Danhsach!$F$10:$F$314,TK_theoTCTD!B66)</f>
        <v>0</v>
      </c>
      <c r="D66" s="19">
        <f>SUMIF(Danhsach!$F$10:$F$314,TK_theoTCTD!$B66,Danhsach!H$10:H$314)+SUMIF(Danhsach1!$F$10:$F$26,TK_theoTCTD!$B66,Danhsach1!H$10:H$26)</f>
        <v>0</v>
      </c>
      <c r="E66" s="19">
        <f>SUMIF(Danhsach!$F$10:$F$314,TK_theoTCTD!$B66,Danhsach!I$10:I$314)+SUMIF(Danhsach1!$F$10:$F$26,TK_theoTCTD!$B66,Danhsach1!I$10:I$26)</f>
        <v>0</v>
      </c>
      <c r="F66" s="19">
        <f>SUMIF(Danhsach!$F$10:$F$314,TK_theoTCTD!$B66,Danhsach!J$10:J$314)+SUMIF(Danhsach1!$F$10:$F$26,TK_theoTCTD!$B66,Danhsach1!J$10:J$26)</f>
        <v>0</v>
      </c>
    </row>
    <row r="67" spans="1:6" ht="15">
      <c r="A67" s="15" t="s">
        <v>283</v>
      </c>
      <c r="B67" s="16" t="str">
        <f>TCTD!C67</f>
        <v>Công ty tài chính cổ phần Xi Măng</v>
      </c>
      <c r="C67" s="19">
        <f>COUNTIF(Danhsach!$F$10:$F$314,TK_theoTCTD!B67)</f>
        <v>0</v>
      </c>
      <c r="D67" s="19">
        <f>SUMIF(Danhsach!$F$10:$F$314,TK_theoTCTD!$B67,Danhsach!H$10:H$314)+SUMIF(Danhsach1!$F$10:$F$26,TK_theoTCTD!$B67,Danhsach1!H$10:H$26)</f>
        <v>0</v>
      </c>
      <c r="E67" s="19">
        <f>SUMIF(Danhsach!$F$10:$F$314,TK_theoTCTD!$B67,Danhsach!I$10:I$314)+SUMIF(Danhsach1!$F$10:$F$26,TK_theoTCTD!$B67,Danhsach1!I$10:I$26)</f>
        <v>0</v>
      </c>
      <c r="F67" s="19">
        <f>SUMIF(Danhsach!$F$10:$F$314,TK_theoTCTD!$B67,Danhsach!J$10:J$314)+SUMIF(Danhsach1!$F$10:$F$26,TK_theoTCTD!$B67,Danhsach1!J$10:J$26)</f>
        <v>0</v>
      </c>
    </row>
    <row r="68" spans="1:6" ht="15">
      <c r="A68" s="15" t="s">
        <v>284</v>
      </c>
      <c r="B68" s="16" t="str">
        <f>TCTD!C68</f>
        <v>Công ty tài chính TNHH HD Saison</v>
      </c>
      <c r="C68" s="19">
        <f>COUNTIF(Danhsach!$F$10:$F$314,TK_theoTCTD!B68)</f>
        <v>2</v>
      </c>
      <c r="D68" s="19">
        <f>SUMIF(Danhsach!$F$10:$F$314,TK_theoTCTD!$B68,Danhsach!H$10:H$314)+SUMIF(Danhsach1!$F$10:$F$26,TK_theoTCTD!$B68,Danhsach1!H$10:H$26)</f>
        <v>731364</v>
      </c>
      <c r="E68" s="19">
        <f>SUMIF(Danhsach!$F$10:$F$314,TK_theoTCTD!$B68,Danhsach!I$10:I$314)+SUMIF(Danhsach1!$F$10:$F$26,TK_theoTCTD!$B68,Danhsach1!I$10:I$26)</f>
        <v>2000</v>
      </c>
      <c r="F68" s="19">
        <f>SUMIF(Danhsach!$F$10:$F$314,TK_theoTCTD!$B68,Danhsach!J$10:J$314)+SUMIF(Danhsach1!$F$10:$F$26,TK_theoTCTD!$B68,Danhsach1!J$10:J$26)</f>
        <v>729364</v>
      </c>
    </row>
    <row r="69" spans="1:6" ht="15">
      <c r="A69" s="15" t="s">
        <v>285</v>
      </c>
      <c r="B69" s="16" t="str">
        <f>TCTD!C69</f>
        <v>Công ty tài chính TNHH MTV Bưu điện</v>
      </c>
      <c r="C69" s="19">
        <f>COUNTIF(Danhsach!$F$10:$F$314,TK_theoTCTD!B69)</f>
        <v>0</v>
      </c>
      <c r="D69" s="19">
        <f>SUMIF(Danhsach!$F$10:$F$314,TK_theoTCTD!$B69,Danhsach!H$10:H$314)+SUMIF(Danhsach1!$F$10:$F$26,TK_theoTCTD!$B69,Danhsach1!H$10:H$26)</f>
        <v>0</v>
      </c>
      <c r="E69" s="19">
        <f>SUMIF(Danhsach!$F$10:$F$314,TK_theoTCTD!$B69,Danhsach!I$10:I$314)+SUMIF(Danhsach1!$F$10:$F$26,TK_theoTCTD!$B69,Danhsach1!I$10:I$26)</f>
        <v>0</v>
      </c>
      <c r="F69" s="19">
        <f>SUMIF(Danhsach!$F$10:$F$314,TK_theoTCTD!$B69,Danhsach!J$10:J$314)+SUMIF(Danhsach1!$F$10:$F$26,TK_theoTCTD!$B69,Danhsach1!J$10:J$26)</f>
        <v>0</v>
      </c>
    </row>
    <row r="70" spans="1:6" ht="15">
      <c r="A70" s="15" t="s">
        <v>286</v>
      </c>
      <c r="B70" s="16" t="str">
        <f>TCTD!C70</f>
        <v>Công ty tài chính TNHH MTV Cao su Việt Nam</v>
      </c>
      <c r="C70" s="19">
        <f>COUNTIF(Danhsach!$F$10:$F$314,TK_theoTCTD!B70)</f>
        <v>0</v>
      </c>
      <c r="D70" s="19">
        <f>SUMIF(Danhsach!$F$10:$F$314,TK_theoTCTD!$B70,Danhsach!H$10:H$314)+SUMIF(Danhsach1!$F$10:$F$26,TK_theoTCTD!$B70,Danhsach1!H$10:H$26)</f>
        <v>0</v>
      </c>
      <c r="E70" s="19">
        <f>SUMIF(Danhsach!$F$10:$F$314,TK_theoTCTD!$B70,Danhsach!I$10:I$314)+SUMIF(Danhsach1!$F$10:$F$26,TK_theoTCTD!$B70,Danhsach1!I$10:I$26)</f>
        <v>0</v>
      </c>
      <c r="F70" s="19">
        <f>SUMIF(Danhsach!$F$10:$F$314,TK_theoTCTD!$B70,Danhsach!J$10:J$314)+SUMIF(Danhsach1!$F$10:$F$26,TK_theoTCTD!$B70,Danhsach1!J$10:J$26)</f>
        <v>0</v>
      </c>
    </row>
    <row r="71" spans="1:6" ht="15">
      <c r="A71" s="15" t="s">
        <v>287</v>
      </c>
      <c r="B71" s="16" t="str">
        <f>TCTD!C71</f>
        <v>Công ty tài chính TNHH MTV Home credit Việt Nam</v>
      </c>
      <c r="C71" s="19">
        <f>COUNTIF(Danhsach!$F$10:$F$314,TK_theoTCTD!B71)</f>
        <v>0</v>
      </c>
      <c r="D71" s="19">
        <f>SUMIF(Danhsach!$F$10:$F$314,TK_theoTCTD!$B71,Danhsach!H$10:H$314)+SUMIF(Danhsach1!$F$10:$F$26,TK_theoTCTD!$B71,Danhsach1!H$10:H$26)</f>
        <v>0</v>
      </c>
      <c r="E71" s="19">
        <f>SUMIF(Danhsach!$F$10:$F$314,TK_theoTCTD!$B71,Danhsach!I$10:I$314)+SUMIF(Danhsach1!$F$10:$F$26,TK_theoTCTD!$B71,Danhsach1!I$10:I$26)</f>
        <v>0</v>
      </c>
      <c r="F71" s="19">
        <f>SUMIF(Danhsach!$F$10:$F$314,TK_theoTCTD!$B71,Danhsach!J$10:J$314)+SUMIF(Danhsach1!$F$10:$F$26,TK_theoTCTD!$B71,Danhsach1!J$10:J$26)</f>
        <v>0</v>
      </c>
    </row>
    <row r="72" spans="1:6" ht="15">
      <c r="A72" s="15" t="s">
        <v>288</v>
      </c>
      <c r="B72" s="16" t="str">
        <f>TCTD!C72</f>
        <v>Công ty tài chính TNHH MTV Kỹ thương</v>
      </c>
      <c r="C72" s="19">
        <f>COUNTIF(Danhsach!$F$10:$F$314,TK_theoTCTD!B72)</f>
        <v>0</v>
      </c>
      <c r="D72" s="19">
        <f>SUMIF(Danhsach!$F$10:$F$314,TK_theoTCTD!$B72,Danhsach!H$10:H$314)+SUMIF(Danhsach1!$F$10:$F$26,TK_theoTCTD!$B72,Danhsach1!H$10:H$26)</f>
        <v>0</v>
      </c>
      <c r="E72" s="19">
        <f>SUMIF(Danhsach!$F$10:$F$314,TK_theoTCTD!$B72,Danhsach!I$10:I$314)+SUMIF(Danhsach1!$F$10:$F$26,TK_theoTCTD!$B72,Danhsach1!I$10:I$26)</f>
        <v>0</v>
      </c>
      <c r="F72" s="19">
        <f>SUMIF(Danhsach!$F$10:$F$314,TK_theoTCTD!$B72,Danhsach!J$10:J$314)+SUMIF(Danhsach1!$F$10:$F$26,TK_theoTCTD!$B72,Danhsach1!J$10:J$26)</f>
        <v>0</v>
      </c>
    </row>
    <row r="73" spans="1:6" ht="15">
      <c r="A73" s="15" t="s">
        <v>289</v>
      </c>
      <c r="B73" s="16" t="str">
        <f>TCTD!C73</f>
        <v>Công ty tài chính TNHH MTV Mirae Asset (Việt Nam)</v>
      </c>
      <c r="C73" s="19">
        <f>COUNTIF(Danhsach!$F$10:$F$314,TK_theoTCTD!B73)</f>
        <v>0</v>
      </c>
      <c r="D73" s="19">
        <f>SUMIF(Danhsach!$F$10:$F$314,TK_theoTCTD!$B73,Danhsach!H$10:H$314)+SUMIF(Danhsach1!$F$10:$F$26,TK_theoTCTD!$B73,Danhsach1!H$10:H$26)</f>
        <v>0</v>
      </c>
      <c r="E73" s="19">
        <f>SUMIF(Danhsach!$F$10:$F$314,TK_theoTCTD!$B73,Danhsach!I$10:I$314)+SUMIF(Danhsach1!$F$10:$F$26,TK_theoTCTD!$B73,Danhsach1!I$10:I$26)</f>
        <v>0</v>
      </c>
      <c r="F73" s="19">
        <f>SUMIF(Danhsach!$F$10:$F$314,TK_theoTCTD!$B73,Danhsach!J$10:J$314)+SUMIF(Danhsach1!$F$10:$F$26,TK_theoTCTD!$B73,Danhsach1!J$10:J$26)</f>
        <v>0</v>
      </c>
    </row>
    <row r="74" spans="1:6" ht="30">
      <c r="A74" s="15" t="s">
        <v>302</v>
      </c>
      <c r="B74" s="16" t="str">
        <f>TCTD!C74</f>
        <v>Công ty tài chính TNHH MTV Ngân hàng TMCP Hàng Hải Việt Nam</v>
      </c>
      <c r="C74" s="19">
        <f>COUNTIF(Danhsach!$F$10:$F$314,TK_theoTCTD!B74)</f>
        <v>0</v>
      </c>
      <c r="D74" s="19">
        <f>SUMIF(Danhsach!$F$10:$F$314,TK_theoTCTD!$B74,Danhsach!H$10:H$314)+SUMIF(Danhsach1!$F$10:$F$26,TK_theoTCTD!$B74,Danhsach1!H$10:H$26)</f>
        <v>0</v>
      </c>
      <c r="E74" s="19">
        <f>SUMIF(Danhsach!$F$10:$F$314,TK_theoTCTD!$B74,Danhsach!I$10:I$314)+SUMIF(Danhsach1!$F$10:$F$26,TK_theoTCTD!$B74,Danhsach1!I$10:I$26)</f>
        <v>0</v>
      </c>
      <c r="F74" s="19">
        <f>SUMIF(Danhsach!$F$10:$F$314,TK_theoTCTD!$B74,Danhsach!J$10:J$314)+SUMIF(Danhsach1!$F$10:$F$26,TK_theoTCTD!$B74,Danhsach1!J$10:J$26)</f>
        <v>0</v>
      </c>
    </row>
    <row r="75" spans="1:6" ht="15">
      <c r="A75" s="15" t="s">
        <v>303</v>
      </c>
      <c r="B75" s="16" t="str">
        <f>TCTD!C75</f>
        <v>Công ty tài chính TNHH MTV Ngân hàng Việt Nam Thịnh Vượng </v>
      </c>
      <c r="C75" s="19">
        <f>COUNTIF(Danhsach!$F$10:$F$314,TK_theoTCTD!B75)</f>
        <v>2</v>
      </c>
      <c r="D75" s="19">
        <f>SUMIF(Danhsach!$F$10:$F$314,TK_theoTCTD!$B75,Danhsach!H$10:H$314)+SUMIF(Danhsach1!$F$10:$F$26,TK_theoTCTD!$B75,Danhsach1!H$10:H$26)</f>
        <v>81473</v>
      </c>
      <c r="E75" s="19">
        <f>SUMIF(Danhsach!$F$10:$F$314,TK_theoTCTD!$B75,Danhsach!I$10:I$314)+SUMIF(Danhsach1!$F$10:$F$26,TK_theoTCTD!$B75,Danhsach1!I$10:I$26)</f>
        <v>10000</v>
      </c>
      <c r="F75" s="19">
        <f>SUMIF(Danhsach!$F$10:$F$314,TK_theoTCTD!$B75,Danhsach!J$10:J$314)+SUMIF(Danhsach1!$F$10:$F$26,TK_theoTCTD!$B75,Danhsach1!J$10:J$26)</f>
        <v>71473</v>
      </c>
    </row>
    <row r="76" spans="1:6" ht="15">
      <c r="A76" s="15" t="s">
        <v>304</v>
      </c>
      <c r="B76" s="16" t="str">
        <f>TCTD!C76</f>
        <v>Công ty tài chính TNHH MTV Prudential Việt Nam</v>
      </c>
      <c r="C76" s="19">
        <f>COUNTIF(Danhsach!$F$10:$F$314,TK_theoTCTD!B76)</f>
        <v>0</v>
      </c>
      <c r="D76" s="19">
        <f>SUMIF(Danhsach!$F$10:$F$314,TK_theoTCTD!$B76,Danhsach!H$10:H$314)+SUMIF(Danhsach1!$F$10:$F$26,TK_theoTCTD!$B76,Danhsach1!H$10:H$26)</f>
        <v>0</v>
      </c>
      <c r="E76" s="19">
        <f>SUMIF(Danhsach!$F$10:$F$314,TK_theoTCTD!$B76,Danhsach!I$10:I$314)+SUMIF(Danhsach1!$F$10:$F$26,TK_theoTCTD!$B76,Danhsach1!I$10:I$26)</f>
        <v>0</v>
      </c>
      <c r="F76" s="19">
        <f>SUMIF(Danhsach!$F$10:$F$314,TK_theoTCTD!$B76,Danhsach!J$10:J$314)+SUMIF(Danhsach1!$F$10:$F$26,TK_theoTCTD!$B76,Danhsach1!J$10:J$26)</f>
        <v>0</v>
      </c>
    </row>
    <row r="77" spans="1:6" ht="15">
      <c r="A77" s="15" t="s">
        <v>305</v>
      </c>
      <c r="B77" s="16" t="str">
        <f>TCTD!C77</f>
        <v>Công ty tài chính TNHH MTV Quốc tế Việt Nam JACCS</v>
      </c>
      <c r="C77" s="19">
        <f>COUNTIF(Danhsach!$F$10:$F$314,TK_theoTCTD!B77)</f>
        <v>0</v>
      </c>
      <c r="D77" s="19">
        <f>SUMIF(Danhsach!$F$10:$F$314,TK_theoTCTD!$B77,Danhsach!H$10:H$314)+SUMIF(Danhsach1!$F$10:$F$26,TK_theoTCTD!$B77,Danhsach1!H$10:H$26)</f>
        <v>0</v>
      </c>
      <c r="E77" s="19">
        <f>SUMIF(Danhsach!$F$10:$F$314,TK_theoTCTD!$B77,Danhsach!I$10:I$314)+SUMIF(Danhsach1!$F$10:$F$26,TK_theoTCTD!$B77,Danhsach1!I$10:I$26)</f>
        <v>0</v>
      </c>
      <c r="F77" s="19">
        <f>SUMIF(Danhsach!$F$10:$F$314,TK_theoTCTD!$B77,Danhsach!J$10:J$314)+SUMIF(Danhsach1!$F$10:$F$26,TK_theoTCTD!$B77,Danhsach1!J$10:J$26)</f>
        <v>0</v>
      </c>
    </row>
    <row r="78" spans="1:6" ht="15">
      <c r="A78" s="15" t="s">
        <v>306</v>
      </c>
      <c r="B78" s="16" t="str">
        <f>TCTD!C78</f>
        <v>Công ty tài chính TNHH MTV Tàu thuỷ</v>
      </c>
      <c r="C78" s="19">
        <f>COUNTIF(Danhsach!$F$10:$F$314,TK_theoTCTD!B78)</f>
        <v>0</v>
      </c>
      <c r="D78" s="19">
        <f>SUMIF(Danhsach!$F$10:$F$314,TK_theoTCTD!$B78,Danhsach!H$10:H$314)+SUMIF(Danhsach1!$F$10:$F$26,TK_theoTCTD!$B78,Danhsach1!H$10:H$26)</f>
        <v>0</v>
      </c>
      <c r="E78" s="19">
        <f>SUMIF(Danhsach!$F$10:$F$314,TK_theoTCTD!$B78,Danhsach!I$10:I$314)+SUMIF(Danhsach1!$F$10:$F$26,TK_theoTCTD!$B78,Danhsach1!I$10:I$26)</f>
        <v>0</v>
      </c>
      <c r="F78" s="19">
        <f>SUMIF(Danhsach!$F$10:$F$314,TK_theoTCTD!$B78,Danhsach!J$10:J$314)+SUMIF(Danhsach1!$F$10:$F$26,TK_theoTCTD!$B78,Danhsach1!J$10:J$26)</f>
        <v>0</v>
      </c>
    </row>
    <row r="79" spans="1:6" ht="15">
      <c r="A79" s="15" t="s">
        <v>307</v>
      </c>
      <c r="B79" s="16" t="str">
        <f>TCTD!C79</f>
        <v>Công ty tài chính TNHH MTV Toyota Việt Nam </v>
      </c>
      <c r="C79" s="19">
        <f>COUNTIF(Danhsach!$F$10:$F$314,TK_theoTCTD!B79)</f>
        <v>0</v>
      </c>
      <c r="D79" s="19">
        <f>SUMIF(Danhsach!$F$10:$F$314,TK_theoTCTD!$B79,Danhsach!H$10:H$314)+SUMIF(Danhsach1!$F$10:$F$26,TK_theoTCTD!$B79,Danhsach1!H$10:H$26)</f>
        <v>0</v>
      </c>
      <c r="E79" s="19">
        <f>SUMIF(Danhsach!$F$10:$F$314,TK_theoTCTD!$B79,Danhsach!I$10:I$314)+SUMIF(Danhsach1!$F$10:$F$26,TK_theoTCTD!$B79,Danhsach1!I$10:I$26)</f>
        <v>0</v>
      </c>
      <c r="F79" s="19">
        <f>SUMIF(Danhsach!$F$10:$F$314,TK_theoTCTD!$B79,Danhsach!J$10:J$314)+SUMIF(Danhsach1!$F$10:$F$26,TK_theoTCTD!$B79,Danhsach1!J$10:J$26)</f>
        <v>0</v>
      </c>
    </row>
    <row r="80" spans="1:6" ht="15">
      <c r="A80" s="13">
        <v>8</v>
      </c>
      <c r="B80" s="14" t="str">
        <f>TCTD!C80</f>
        <v>=:Công ty cho thuê tài chính:=</v>
      </c>
      <c r="C80" s="18">
        <f>SUM(C81:C91)</f>
        <v>0</v>
      </c>
      <c r="D80" s="18">
        <f>SUM(D81:D91)</f>
        <v>0</v>
      </c>
      <c r="E80" s="18">
        <f>SUM(E81:E91)</f>
        <v>0</v>
      </c>
      <c r="F80" s="18">
        <f>SUM(F81:F91)</f>
        <v>0</v>
      </c>
    </row>
    <row r="81" spans="1:6" ht="30">
      <c r="A81" s="15" t="s">
        <v>291</v>
      </c>
      <c r="B81" s="16" t="str">
        <f>TCTD!C81</f>
        <v>Công ty CTTC I Ngân hàng Nông nghiệp và Phát triển Nông thôn Việt Nam</v>
      </c>
      <c r="C81" s="19">
        <f>COUNTIF(Danhsach!$F$10:$F$314,TK_theoTCTD!B81)</f>
        <v>0</v>
      </c>
      <c r="D81" s="19">
        <f>SUMIF(Danhsach!$F$10:$F$314,TK_theoTCTD!$B81,Danhsach!H$10:H$314)+SUMIF(Danhsach1!$F$10:$F$26,TK_theoTCTD!$B81,Danhsach1!H$10:H$26)</f>
        <v>0</v>
      </c>
      <c r="E81" s="19">
        <f>SUMIF(Danhsach!$F$10:$F$314,TK_theoTCTD!$B81,Danhsach!I$10:I$314)+SUMIF(Danhsach1!$F$10:$F$26,TK_theoTCTD!$B81,Danhsach1!I$10:I$26)</f>
        <v>0</v>
      </c>
      <c r="F81" s="19">
        <f>SUMIF(Danhsach!$F$10:$F$314,TK_theoTCTD!$B81,Danhsach!J$10:J$314)+SUMIF(Danhsach1!$F$10:$F$26,TK_theoTCTD!$B81,Danhsach1!J$10:J$26)</f>
        <v>0</v>
      </c>
    </row>
    <row r="82" spans="1:6" ht="30">
      <c r="A82" s="15" t="s">
        <v>292</v>
      </c>
      <c r="B82" s="16" t="str">
        <f>TCTD!C82</f>
        <v>Công ty CTTC II Ngân hàng Nông nghiệp và Phát triển Nông thôn Việt Nam</v>
      </c>
      <c r="C82" s="19">
        <f>COUNTIF(Danhsach!$F$10:$F$314,TK_theoTCTD!B82)</f>
        <v>0</v>
      </c>
      <c r="D82" s="19">
        <f>SUMIF(Danhsach!$F$10:$F$314,TK_theoTCTD!$B82,Danhsach!H$10:H$314)+SUMIF(Danhsach1!$F$10:$F$26,TK_theoTCTD!$B82,Danhsach1!H$10:H$26)</f>
        <v>0</v>
      </c>
      <c r="E82" s="19">
        <f>SUMIF(Danhsach!$F$10:$F$314,TK_theoTCTD!$B82,Danhsach!I$10:I$314)+SUMIF(Danhsach1!$F$10:$F$26,TK_theoTCTD!$B82,Danhsach1!I$10:I$26)</f>
        <v>0</v>
      </c>
      <c r="F82" s="19">
        <f>SUMIF(Danhsach!$F$10:$F$314,TK_theoTCTD!$B82,Danhsach!J$10:J$314)+SUMIF(Danhsach1!$F$10:$F$26,TK_theoTCTD!$B82,Danhsach1!J$10:J$26)</f>
        <v>0</v>
      </c>
    </row>
    <row r="83" spans="1:6" ht="15">
      <c r="A83" s="15" t="s">
        <v>293</v>
      </c>
      <c r="B83" s="16" t="str">
        <f>TCTD!C83</f>
        <v>Công ty CTTC TNHH MTV Công nghiệp Tàu thuỷ</v>
      </c>
      <c r="C83" s="19">
        <f>COUNTIF(Danhsach!$F$10:$F$314,TK_theoTCTD!B83)</f>
        <v>0</v>
      </c>
      <c r="D83" s="19">
        <f>SUMIF(Danhsach!$F$10:$F$314,TK_theoTCTD!$B83,Danhsach!H$10:H$314)+SUMIF(Danhsach1!$F$10:$F$26,TK_theoTCTD!$B83,Danhsach1!H$10:H$26)</f>
        <v>0</v>
      </c>
      <c r="E83" s="19">
        <f>SUMIF(Danhsach!$F$10:$F$314,TK_theoTCTD!$B83,Danhsach!I$10:I$314)+SUMIF(Danhsach1!$F$10:$F$26,TK_theoTCTD!$B83,Danhsach1!I$10:I$26)</f>
        <v>0</v>
      </c>
      <c r="F83" s="19">
        <f>SUMIF(Danhsach!$F$10:$F$314,TK_theoTCTD!$B83,Danhsach!J$10:J$314)+SUMIF(Danhsach1!$F$10:$F$26,TK_theoTCTD!$B83,Danhsach1!J$10:J$26)</f>
        <v>0</v>
      </c>
    </row>
    <row r="84" spans="1:6" ht="15">
      <c r="A84" s="15" t="s">
        <v>294</v>
      </c>
      <c r="B84" s="16" t="str">
        <f>TCTD!C84</f>
        <v>Công ty CTTC TNHH MTV Kexim Việt Nam</v>
      </c>
      <c r="C84" s="19">
        <f>COUNTIF(Danhsach!$F$10:$F$314,TK_theoTCTD!B84)</f>
        <v>0</v>
      </c>
      <c r="D84" s="19">
        <f>SUMIF(Danhsach!$F$10:$F$314,TK_theoTCTD!$B84,Danhsach!H$10:H$314)+SUMIF(Danhsach1!$F$10:$F$26,TK_theoTCTD!$B84,Danhsach1!H$10:H$26)</f>
        <v>0</v>
      </c>
      <c r="E84" s="19">
        <f>SUMIF(Danhsach!$F$10:$F$314,TK_theoTCTD!$B84,Danhsach!I$10:I$314)+SUMIF(Danhsach1!$F$10:$F$26,TK_theoTCTD!$B84,Danhsach1!I$10:I$26)</f>
        <v>0</v>
      </c>
      <c r="F84" s="19">
        <f>SUMIF(Danhsach!$F$10:$F$314,TK_theoTCTD!$B84,Danhsach!J$10:J$314)+SUMIF(Danhsach1!$F$10:$F$26,TK_theoTCTD!$B84,Danhsach1!J$10:J$26)</f>
        <v>0</v>
      </c>
    </row>
    <row r="85" spans="1:6" ht="15">
      <c r="A85" s="15" t="s">
        <v>295</v>
      </c>
      <c r="B85" s="16" t="str">
        <f>TCTD!C85</f>
        <v>Công ty CTTC TNHH MTV Ngân hàng Á Châu</v>
      </c>
      <c r="C85" s="19">
        <f>COUNTIF(Danhsach!$F$10:$F$314,TK_theoTCTD!B85)</f>
        <v>0</v>
      </c>
      <c r="D85" s="19">
        <f>SUMIF(Danhsach!$F$10:$F$314,TK_theoTCTD!$B85,Danhsach!H$10:H$314)+SUMIF(Danhsach1!$F$10:$F$26,TK_theoTCTD!$B85,Danhsach1!H$10:H$26)</f>
        <v>0</v>
      </c>
      <c r="E85" s="19">
        <f>SUMIF(Danhsach!$F$10:$F$314,TK_theoTCTD!$B85,Danhsach!I$10:I$314)+SUMIF(Danhsach1!$F$10:$F$26,TK_theoTCTD!$B85,Danhsach1!I$10:I$26)</f>
        <v>0</v>
      </c>
      <c r="F85" s="19">
        <f>SUMIF(Danhsach!$F$10:$F$314,TK_theoTCTD!$B85,Danhsach!J$10:J$314)+SUMIF(Danhsach1!$F$10:$F$26,TK_theoTCTD!$B85,Danhsach1!J$10:J$26)</f>
        <v>0</v>
      </c>
    </row>
    <row r="86" spans="1:6" ht="15">
      <c r="A86" s="15" t="s">
        <v>296</v>
      </c>
      <c r="B86" s="16" t="str">
        <f>TCTD!C86</f>
        <v>Công ty CTTC TNHH MTV Ngân hàng Công thương Việt Nam</v>
      </c>
      <c r="C86" s="19">
        <f>COUNTIF(Danhsach!$F$10:$F$314,TK_theoTCTD!B86)</f>
        <v>0</v>
      </c>
      <c r="D86" s="19">
        <f>SUMIF(Danhsach!$F$10:$F$314,TK_theoTCTD!$B86,Danhsach!H$10:H$314)+SUMIF(Danhsach1!$F$10:$F$26,TK_theoTCTD!$B86,Danhsach1!H$10:H$26)</f>
        <v>0</v>
      </c>
      <c r="E86" s="19">
        <f>SUMIF(Danhsach!$F$10:$F$314,TK_theoTCTD!$B86,Danhsach!I$10:I$314)+SUMIF(Danhsach1!$F$10:$F$26,TK_theoTCTD!$B86,Danhsach1!I$10:I$26)</f>
        <v>0</v>
      </c>
      <c r="F86" s="19">
        <f>SUMIF(Danhsach!$F$10:$F$314,TK_theoTCTD!$B86,Danhsach!J$10:J$314)+SUMIF(Danhsach1!$F$10:$F$26,TK_theoTCTD!$B86,Danhsach1!J$10:J$26)</f>
        <v>0</v>
      </c>
    </row>
    <row r="87" spans="1:6" ht="30">
      <c r="A87" s="15" t="s">
        <v>297</v>
      </c>
      <c r="B87" s="16" t="str">
        <f>TCTD!C87</f>
        <v>Công ty CTTC TNHH MTV Ngân hàng Đầu tư và Phát triển Việt Nam</v>
      </c>
      <c r="C87" s="19">
        <f>COUNTIF(Danhsach!$F$10:$F$314,TK_theoTCTD!B87)</f>
        <v>0</v>
      </c>
      <c r="D87" s="19">
        <f>SUMIF(Danhsach!$F$10:$F$314,TK_theoTCTD!$B87,Danhsach!H$10:H$314)+SUMIF(Danhsach1!$F$10:$F$26,TK_theoTCTD!$B87,Danhsach1!H$10:H$26)</f>
        <v>0</v>
      </c>
      <c r="E87" s="19">
        <f>SUMIF(Danhsach!$F$10:$F$314,TK_theoTCTD!$B87,Danhsach!I$10:I$314)+SUMIF(Danhsach1!$F$10:$F$26,TK_theoTCTD!$B87,Danhsach1!I$10:I$26)</f>
        <v>0</v>
      </c>
      <c r="F87" s="19">
        <f>SUMIF(Danhsach!$F$10:$F$314,TK_theoTCTD!$B87,Danhsach!J$10:J$314)+SUMIF(Danhsach1!$F$10:$F$26,TK_theoTCTD!$B87,Danhsach1!J$10:J$26)</f>
        <v>0</v>
      </c>
    </row>
    <row r="88" spans="1:6" ht="15">
      <c r="A88" s="15" t="s">
        <v>298</v>
      </c>
      <c r="B88" s="16" t="str">
        <f>TCTD!C88</f>
        <v>Công ty TNHH CTTC Quốc tế Chailease</v>
      </c>
      <c r="C88" s="19">
        <f>COUNTIF(Danhsach!$F$10:$F$314,TK_theoTCTD!B88)</f>
        <v>0</v>
      </c>
      <c r="D88" s="19">
        <f>SUMIF(Danhsach!$F$10:$F$314,TK_theoTCTD!$B88,Danhsach!H$10:H$314)+SUMIF(Danhsach1!$F$10:$F$26,TK_theoTCTD!$B88,Danhsach1!H$10:H$26)</f>
        <v>0</v>
      </c>
      <c r="E88" s="19">
        <f>SUMIF(Danhsach!$F$10:$F$314,TK_theoTCTD!$B88,Danhsach!I$10:I$314)+SUMIF(Danhsach1!$F$10:$F$26,TK_theoTCTD!$B88,Danhsach1!I$10:I$26)</f>
        <v>0</v>
      </c>
      <c r="F88" s="19">
        <f>SUMIF(Danhsach!$F$10:$F$314,TK_theoTCTD!$B88,Danhsach!J$10:J$314)+SUMIF(Danhsach1!$F$10:$F$26,TK_theoTCTD!$B88,Danhsach1!J$10:J$26)</f>
        <v>0</v>
      </c>
    </row>
    <row r="89" spans="1:6" ht="15">
      <c r="A89" s="15" t="s">
        <v>299</v>
      </c>
      <c r="B89" s="16" t="str">
        <f>TCTD!C89</f>
        <v>Công ty TNHH CTTC Quốc tế Việt Nam</v>
      </c>
      <c r="C89" s="19">
        <f>COUNTIF(Danhsach!$F$10:$F$314,TK_theoTCTD!B89)</f>
        <v>0</v>
      </c>
      <c r="D89" s="19">
        <f>SUMIF(Danhsach!$F$10:$F$314,TK_theoTCTD!$B89,Danhsach!H$10:H$314)+SUMIF(Danhsach1!$F$10:$F$26,TK_theoTCTD!$B89,Danhsach1!H$10:H$26)</f>
        <v>0</v>
      </c>
      <c r="E89" s="19">
        <f>SUMIF(Danhsach!$F$10:$F$314,TK_theoTCTD!$B89,Danhsach!I$10:I$314)+SUMIF(Danhsach1!$F$10:$F$26,TK_theoTCTD!$B89,Danhsach1!I$10:I$26)</f>
        <v>0</v>
      </c>
      <c r="F89" s="19">
        <f>SUMIF(Danhsach!$F$10:$F$314,TK_theoTCTD!$B89,Danhsach!J$10:J$314)+SUMIF(Danhsach1!$F$10:$F$26,TK_theoTCTD!$B89,Danhsach1!J$10:J$26)</f>
        <v>0</v>
      </c>
    </row>
    <row r="90" spans="1:6" ht="15">
      <c r="A90" s="15" t="s">
        <v>300</v>
      </c>
      <c r="B90" s="16" t="str">
        <f>TCTD!C90</f>
        <v>Công ty TNHH MTV CTTC Ngân hàng Ngoại thương Việt Nam</v>
      </c>
      <c r="C90" s="19">
        <f>COUNTIF(Danhsach!$F$10:$F$314,TK_theoTCTD!B90)</f>
        <v>0</v>
      </c>
      <c r="D90" s="19">
        <f>SUMIF(Danhsach!$F$10:$F$314,TK_theoTCTD!$B90,Danhsach!H$10:H$314)+SUMIF(Danhsach1!$F$10:$F$26,TK_theoTCTD!$B90,Danhsach1!H$10:H$26)</f>
        <v>0</v>
      </c>
      <c r="E90" s="19">
        <f>SUMIF(Danhsach!$F$10:$F$314,TK_theoTCTD!$B90,Danhsach!I$10:I$314)+SUMIF(Danhsach1!$F$10:$F$26,TK_theoTCTD!$B90,Danhsach1!I$10:I$26)</f>
        <v>0</v>
      </c>
      <c r="F90" s="19">
        <f>SUMIF(Danhsach!$F$10:$F$314,TK_theoTCTD!$B90,Danhsach!J$10:J$314)+SUMIF(Danhsach1!$F$10:$F$26,TK_theoTCTD!$B90,Danhsach1!J$10:J$26)</f>
        <v>0</v>
      </c>
    </row>
    <row r="91" spans="1:6" ht="15">
      <c r="A91" s="15" t="s">
        <v>301</v>
      </c>
      <c r="B91" s="16" t="str">
        <f>TCTD!C91</f>
        <v>Công ty TNHH MTV CTTC Ngân hàng Sài Gòn Thương Tín</v>
      </c>
      <c r="C91" s="19">
        <f>COUNTIF(Danhsach!$F$10:$F$314,TK_theoTCTD!B91)</f>
        <v>0</v>
      </c>
      <c r="D91" s="19">
        <f>SUMIF(Danhsach!$F$10:$F$314,TK_theoTCTD!$B91,Danhsach!H$10:H$314)+SUMIF(Danhsach1!$F$10:$F$26,TK_theoTCTD!$B91,Danhsach1!H$10:H$26)</f>
        <v>0</v>
      </c>
      <c r="E91" s="19">
        <f>SUMIF(Danhsach!$F$10:$F$314,TK_theoTCTD!$B91,Danhsach!I$10:I$314)+SUMIF(Danhsach1!$F$10:$F$26,TK_theoTCTD!$B91,Danhsach1!I$10:I$26)</f>
        <v>0</v>
      </c>
      <c r="F91" s="19">
        <f>SUMIF(Danhsach!$F$10:$F$314,TK_theoTCTD!$B91,Danhsach!J$10:J$314)+SUMIF(Danhsach1!$F$10:$F$26,TK_theoTCTD!$B91,Danhsach1!J$10:J$26)</f>
        <v>0</v>
      </c>
    </row>
    <row r="92" spans="1:6" ht="15">
      <c r="A92" s="13">
        <v>9</v>
      </c>
      <c r="B92" s="14" t="str">
        <f>TCTD!C92</f>
        <v>=:Ngân hàng khác tại Việt Nam:=</v>
      </c>
      <c r="C92" s="18">
        <f>SUM(C93:C100)</f>
        <v>0</v>
      </c>
      <c r="D92" s="18">
        <f>SUM(D93:D100)</f>
        <v>0</v>
      </c>
      <c r="E92" s="18">
        <f>SUM(E93:E100)</f>
        <v>0</v>
      </c>
      <c r="F92" s="18">
        <f>SUM(F93:F100)</f>
        <v>0</v>
      </c>
    </row>
    <row r="93" spans="1:6" ht="15">
      <c r="A93" s="15" t="s">
        <v>308</v>
      </c>
      <c r="B93" s="16" t="str">
        <f>TCTD!C93</f>
        <v>Khác</v>
      </c>
      <c r="C93" s="19">
        <f>COUNTIF(Danhsach!$F$10:$F$314,TK_theoTCTD!B93)</f>
        <v>0</v>
      </c>
      <c r="D93" s="19">
        <f>SUMIF(Danhsach!$F$10:$F$314,TK_theoTCTD!$B93,Danhsach!H$10:H$314)+SUMIF(Danhsach1!$F$10:$F$26,TK_theoTCTD!$B93,Danhsach1!H$10:H$26)</f>
        <v>0</v>
      </c>
      <c r="E93" s="19">
        <f>SUMIF(Danhsach!$F$10:$F$314,TK_theoTCTD!$B93,Danhsach!I$10:I$314)+SUMIF(Danhsach1!$F$10:$F$26,TK_theoTCTD!$B93,Danhsach1!I$10:I$26)</f>
        <v>0</v>
      </c>
      <c r="F93" s="19">
        <f>SUMIF(Danhsach!$F$10:$F$314,TK_theoTCTD!$B93,Danhsach!J$10:J$314)+SUMIF(Danhsach1!$F$10:$F$26,TK_theoTCTD!$B93,Danhsach1!J$10:J$26)</f>
        <v>0</v>
      </c>
    </row>
    <row r="94" spans="1:6" ht="15">
      <c r="A94" s="15" t="s">
        <v>309</v>
      </c>
      <c r="B94" s="16">
        <f>TCTD!C94</f>
        <v>0</v>
      </c>
      <c r="C94" s="19">
        <f>COUNTIF(Danhsach!$F$10:$F$314,TK_theoTCTD!B94)</f>
        <v>0</v>
      </c>
      <c r="D94" s="19">
        <f>SUMIF(Danhsach!$F$10:$F$314,TK_theoTCTD!$B94,Danhsach!H$10:H$314)+SUMIF(Danhsach1!$F$10:$F$26,TK_theoTCTD!$B94,Danhsach1!H$10:H$26)</f>
        <v>0</v>
      </c>
      <c r="E94" s="19">
        <f>SUMIF(Danhsach!$F$10:$F$314,TK_theoTCTD!$B94,Danhsach!I$10:I$314)+SUMIF(Danhsach1!$F$10:$F$26,TK_theoTCTD!$B94,Danhsach1!I$10:I$26)</f>
        <v>0</v>
      </c>
      <c r="F94" s="19">
        <f>SUMIF(Danhsach!$F$10:$F$314,TK_theoTCTD!$B94,Danhsach!J$10:J$314)+SUMIF(Danhsach1!$F$10:$F$26,TK_theoTCTD!$B94,Danhsach1!J$10:J$26)</f>
        <v>0</v>
      </c>
    </row>
    <row r="95" spans="1:6" ht="15">
      <c r="A95" s="15" t="s">
        <v>310</v>
      </c>
      <c r="B95" s="16">
        <f>TCTD!C95</f>
        <v>0</v>
      </c>
      <c r="C95" s="19">
        <f>COUNTIF(Danhsach!$F$10:$F$314,TK_theoTCTD!B95)</f>
        <v>0</v>
      </c>
      <c r="D95" s="19">
        <f>SUMIF(Danhsach!$F$10:$F$314,TK_theoTCTD!$B95,Danhsach!H$10:H$314)+SUMIF(Danhsach1!$F$10:$F$26,TK_theoTCTD!$B95,Danhsach1!H$10:H$26)</f>
        <v>0</v>
      </c>
      <c r="E95" s="19">
        <f>SUMIF(Danhsach!$F$10:$F$314,TK_theoTCTD!$B95,Danhsach!I$10:I$314)+SUMIF(Danhsach1!$F$10:$F$26,TK_theoTCTD!$B95,Danhsach1!I$10:I$26)</f>
        <v>0</v>
      </c>
      <c r="F95" s="19">
        <f>SUMIF(Danhsach!$F$10:$F$314,TK_theoTCTD!$B95,Danhsach!J$10:J$314)+SUMIF(Danhsach1!$F$10:$F$26,TK_theoTCTD!$B95,Danhsach1!J$10:J$26)</f>
        <v>0</v>
      </c>
    </row>
    <row r="96" spans="1:6" ht="15">
      <c r="A96" s="15" t="s">
        <v>311</v>
      </c>
      <c r="B96" s="16">
        <f>TCTD!C96</f>
        <v>0</v>
      </c>
      <c r="C96" s="19">
        <f>COUNTIF(Danhsach!$F$10:$F$314,TK_theoTCTD!B96)</f>
        <v>0</v>
      </c>
      <c r="D96" s="19">
        <f>SUMIF(Danhsach!$F$10:$F$314,TK_theoTCTD!$B96,Danhsach!H$10:H$314)+SUMIF(Danhsach1!$F$10:$F$26,TK_theoTCTD!$B96,Danhsach1!H$10:H$26)</f>
        <v>0</v>
      </c>
      <c r="E96" s="19">
        <f>SUMIF(Danhsach!$F$10:$F$314,TK_theoTCTD!$B96,Danhsach!I$10:I$314)+SUMIF(Danhsach1!$F$10:$F$26,TK_theoTCTD!$B96,Danhsach1!I$10:I$26)</f>
        <v>0</v>
      </c>
      <c r="F96" s="19">
        <f>SUMIF(Danhsach!$F$10:$F$314,TK_theoTCTD!$B96,Danhsach!J$10:J$314)+SUMIF(Danhsach1!$F$10:$F$26,TK_theoTCTD!$B96,Danhsach1!J$10:J$26)</f>
        <v>0</v>
      </c>
    </row>
    <row r="97" spans="1:6" ht="15">
      <c r="A97" s="15" t="s">
        <v>312</v>
      </c>
      <c r="B97" s="16">
        <f>TCTD!C97</f>
        <v>0</v>
      </c>
      <c r="C97" s="19">
        <f>COUNTIF(Danhsach!$F$10:$F$314,TK_theoTCTD!B97)</f>
        <v>0</v>
      </c>
      <c r="D97" s="19">
        <f>SUMIF(Danhsach!$F$10:$F$314,TK_theoTCTD!$B97,Danhsach!H$10:H$314)+SUMIF(Danhsach1!$F$10:$F$26,TK_theoTCTD!$B97,Danhsach1!H$10:H$26)</f>
        <v>0</v>
      </c>
      <c r="E97" s="19">
        <f>SUMIF(Danhsach!$F$10:$F$314,TK_theoTCTD!$B97,Danhsach!I$10:I$314)+SUMIF(Danhsach1!$F$10:$F$26,TK_theoTCTD!$B97,Danhsach1!I$10:I$26)</f>
        <v>0</v>
      </c>
      <c r="F97" s="19">
        <f>SUMIF(Danhsach!$F$10:$F$314,TK_theoTCTD!$B97,Danhsach!J$10:J$314)+SUMIF(Danhsach1!$F$10:$F$26,TK_theoTCTD!$B97,Danhsach1!J$10:J$26)</f>
        <v>0</v>
      </c>
    </row>
    <row r="98" spans="1:6" ht="15">
      <c r="A98" s="15" t="s">
        <v>313</v>
      </c>
      <c r="B98" s="16">
        <f>TCTD!C98</f>
        <v>0</v>
      </c>
      <c r="C98" s="19">
        <f>COUNTIF(Danhsach!$F$10:$F$314,TK_theoTCTD!B98)</f>
        <v>0</v>
      </c>
      <c r="D98" s="19">
        <f>SUMIF(Danhsach!$F$10:$F$314,TK_theoTCTD!$B98,Danhsach!H$10:H$314)+SUMIF(Danhsach1!$F$10:$F$26,TK_theoTCTD!$B98,Danhsach1!H$10:H$26)</f>
        <v>0</v>
      </c>
      <c r="E98" s="19">
        <f>SUMIF(Danhsach!$F$10:$F$314,TK_theoTCTD!$B98,Danhsach!I$10:I$314)+SUMIF(Danhsach1!$F$10:$F$26,TK_theoTCTD!$B98,Danhsach1!I$10:I$26)</f>
        <v>0</v>
      </c>
      <c r="F98" s="19">
        <f>SUMIF(Danhsach!$F$10:$F$314,TK_theoTCTD!$B98,Danhsach!J$10:J$314)+SUMIF(Danhsach1!$F$10:$F$26,TK_theoTCTD!$B98,Danhsach1!J$10:J$26)</f>
        <v>0</v>
      </c>
    </row>
    <row r="99" spans="1:6" ht="15">
      <c r="A99" s="15" t="s">
        <v>314</v>
      </c>
      <c r="B99" s="16"/>
      <c r="C99" s="19">
        <f>COUNTIF(Danhsach!$F$10:$F$314,TK_theoTCTD!B99)</f>
        <v>0</v>
      </c>
      <c r="D99" s="19">
        <f>SUMIF(Danhsach!$F$10:$F$314,TK_theoTCTD!$B99,Danhsach!H$10:H$314)+SUMIF(Danhsach1!$F$10:$F$26,TK_theoTCTD!$B99,Danhsach1!H$10:H$26)</f>
        <v>0</v>
      </c>
      <c r="E99" s="19">
        <f>SUMIF(Danhsach!$F$10:$F$314,TK_theoTCTD!$B99,Danhsach!I$10:I$314)+SUMIF(Danhsach1!$F$10:$F$26,TK_theoTCTD!$B99,Danhsach1!I$10:I$26)</f>
        <v>0</v>
      </c>
      <c r="F99" s="19">
        <f>SUMIF(Danhsach!$F$10:$F$314,TK_theoTCTD!$B99,Danhsach!J$10:J$314)+SUMIF(Danhsach1!$F$10:$F$26,TK_theoTCTD!$B99,Danhsach1!J$10:J$26)</f>
        <v>0</v>
      </c>
    </row>
    <row r="100" spans="1:6" ht="15">
      <c r="A100" s="15" t="s">
        <v>315</v>
      </c>
      <c r="B100" s="16">
        <f>TCTD!C100</f>
        <v>0</v>
      </c>
      <c r="C100" s="19">
        <f>COUNTIF(Danhsach!$F$10:$F$314,TK_theoTCTD!B100)</f>
        <v>0</v>
      </c>
      <c r="D100" s="19">
        <f>SUMIF(Danhsach!$F$10:$F$314,TK_theoTCTD!$B100,Danhsach!H$10:H$314)+SUMIF(Danhsach1!$F$10:$F$26,TK_theoTCTD!$B100,Danhsach1!H$10:H$26)</f>
        <v>0</v>
      </c>
      <c r="E100" s="19">
        <f>SUMIF(Danhsach!$F$10:$F$314,TK_theoTCTD!$B100,Danhsach!I$10:I$314)+SUMIF(Danhsach1!$F$10:$F$26,TK_theoTCTD!$B100,Danhsach1!I$10:I$26)</f>
        <v>0</v>
      </c>
      <c r="F100" s="19">
        <f>SUMIF(Danhsach!$F$10:$F$314,TK_theoTCTD!$B100,Danhsach!J$10:J$314)+SUMIF(Danhsach1!$F$10:$F$26,TK_theoTCTD!$B100,Danhsach1!J$10:J$26)</f>
        <v>0</v>
      </c>
    </row>
    <row r="101" spans="1:6" ht="23.25" customHeight="1">
      <c r="A101" s="15"/>
      <c r="B101" s="17" t="s">
        <v>83</v>
      </c>
      <c r="C101" s="20">
        <f>IF(C6+C9+C12+C16+C51+C57+C62+C80+C92=Danhsach!$D$9,Danhsach!$D$9,"Kiểm tra lại")</f>
        <v>293</v>
      </c>
      <c r="D101" s="20">
        <f>IF(D6+D9+D12+D16+D51+D57+D62+D80+D92=Danhsach!H$9+Danhsach1!H$9,Danhsach!H$9+Danhsach1!H$9,"Kiểm tra lại")</f>
        <v>324945636.217</v>
      </c>
      <c r="E101" s="20">
        <f>IF(E6+E9+E12+E16+E51+E57+E62+E80+E92=Danhsach!I$9+Danhsach1!I$9,Danhsach!I$9+Danhsach1!I$9,"Kiểm tra lại")</f>
        <v>58444768.117</v>
      </c>
      <c r="F101" s="20">
        <f>IF(F6+F9+F12+F16+F51+F57+F62+F80+F92=Danhsach!J$9+Danhsach1!J$9,Danhsach!J$9+Danhsach1!J$9,"Kiểm tra lại")</f>
        <v>266500868.10000002</v>
      </c>
    </row>
    <row r="102" spans="1:6" ht="23.25" customHeight="1">
      <c r="A102" s="26"/>
      <c r="B102" s="67"/>
      <c r="C102" s="68"/>
      <c r="D102" s="384" t="s">
        <v>845</v>
      </c>
      <c r="E102" s="384"/>
      <c r="F102" s="384"/>
    </row>
    <row r="103" spans="1:6" ht="17.25" customHeight="1">
      <c r="A103" s="26"/>
      <c r="B103" s="67" t="s">
        <v>9</v>
      </c>
      <c r="C103" s="68"/>
      <c r="D103" s="381" t="s">
        <v>317</v>
      </c>
      <c r="E103" s="381"/>
      <c r="F103" s="381"/>
    </row>
    <row r="104" spans="1:6" ht="23.25" customHeight="1">
      <c r="A104" s="26"/>
      <c r="B104" s="67"/>
      <c r="C104" s="68"/>
      <c r="D104" s="68"/>
      <c r="E104" s="68"/>
      <c r="F104" s="68"/>
    </row>
    <row r="105" spans="1:6" ht="23.25" customHeight="1">
      <c r="A105" s="26"/>
      <c r="B105" s="67"/>
      <c r="C105" s="68"/>
      <c r="D105" s="68"/>
      <c r="E105" s="68"/>
      <c r="F105" s="68"/>
    </row>
    <row r="106" spans="1:6" ht="23.25" customHeight="1">
      <c r="A106" s="26"/>
      <c r="B106" s="67"/>
      <c r="C106" s="68"/>
      <c r="D106" s="68"/>
      <c r="E106" s="68"/>
      <c r="F106" s="68"/>
    </row>
    <row r="107" spans="1:6" ht="23.25" customHeight="1">
      <c r="A107" s="26"/>
      <c r="B107" s="67"/>
      <c r="C107" s="68"/>
      <c r="D107" s="68"/>
      <c r="E107" s="68"/>
      <c r="F107" s="68"/>
    </row>
    <row r="108" spans="1:6" ht="23.25" customHeight="1">
      <c r="A108" s="26"/>
      <c r="B108" s="67" t="s">
        <v>342</v>
      </c>
      <c r="C108" s="68"/>
      <c r="D108" s="381" t="s">
        <v>343</v>
      </c>
      <c r="E108" s="381"/>
      <c r="F108" s="381"/>
    </row>
    <row r="109" spans="1:6" ht="23.25" customHeight="1">
      <c r="A109" s="26"/>
      <c r="B109" s="27"/>
      <c r="C109" s="28"/>
      <c r="D109" s="28"/>
      <c r="E109" s="28"/>
      <c r="F109" s="28"/>
    </row>
    <row r="110" spans="3:6" ht="15">
      <c r="C110" s="11" t="str">
        <f>IF(C101=TK_theonguyennhan!C19,"Đúng","Sai")</f>
        <v>Đúng</v>
      </c>
      <c r="D110" s="11" t="str">
        <f>IF(D101=TK_theonguyennhan!D19,"Đúng","Sai")</f>
        <v>Đúng</v>
      </c>
      <c r="E110" s="11" t="str">
        <f>IF(E101=TK_theonguyennhan!E19,"Đúng","Sai")</f>
        <v>Đúng</v>
      </c>
      <c r="F110" s="11" t="str">
        <f>IF(F101=TK_theonguyennhan!F19,"Đúng","Sai")</f>
        <v>Đúng</v>
      </c>
    </row>
  </sheetData>
  <sheetProtection password="F786" sheet="1"/>
  <protectedRanges>
    <protectedRange sqref="A102:F109" name="Range1"/>
  </protectedRanges>
  <mergeCells count="9">
    <mergeCell ref="D108:F108"/>
    <mergeCell ref="A2:F2"/>
    <mergeCell ref="D1:F1"/>
    <mergeCell ref="D102:F102"/>
    <mergeCell ref="C4:C5"/>
    <mergeCell ref="D4:F4"/>
    <mergeCell ref="B4:B5"/>
    <mergeCell ref="A4:A5"/>
    <mergeCell ref="D103:F103"/>
  </mergeCells>
  <printOptions/>
  <pageMargins left="0.7" right="0.38" top="0.55" bottom="0.53" header="0.3" footer="0.3"/>
  <pageSetup horizontalDpi="600" verticalDpi="600" orientation="landscape" paperSize="9" scale="9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DELL</cp:lastModifiedBy>
  <cp:lastPrinted>2023-11-13T01:19:27Z</cp:lastPrinted>
  <dcterms:created xsi:type="dcterms:W3CDTF">2013-09-24T01:24:50Z</dcterms:created>
  <dcterms:modified xsi:type="dcterms:W3CDTF">2023-11-13T01:19:30Z</dcterms:modified>
  <cp:category/>
  <cp:version/>
  <cp:contentType/>
  <cp:contentStatus/>
</cp:coreProperties>
</file>