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ookViews>
    <workbookView xWindow="-120" yWindow="-120" windowWidth="29040" windowHeight="15840" tabRatio="886" firstSheet="3" activeTab="3"/>
  </bookViews>
  <sheets>
    <sheet name="PL12" sheetId="11" state="hidden" r:id="rId1"/>
    <sheet name="PL13" sheetId="10" state="hidden" r:id="rId2"/>
    <sheet name="PL14" sheetId="19" state="hidden" r:id="rId3"/>
    <sheet name="PL15" sheetId="12" r:id="rId4"/>
    <sheet name="PL16" sheetId="13" r:id="rId5"/>
    <sheet name="PL17" sheetId="22" r:id="rId6"/>
    <sheet name="PL 18_TCDT" sheetId="24" r:id="rId7"/>
    <sheet name="PL19" sheetId="1" state="hidden" r:id="rId8"/>
    <sheet name="PL20" sheetId="14" state="hidden" r:id="rId9"/>
    <sheet name="PL21" sheetId="18" state="hidden" r:id="rId10"/>
    <sheet name="PL22" sheetId="23" state="hidden" r:id="rId11"/>
    <sheet name="PL23" sheetId="2" state="hidden" r:id="rId12"/>
    <sheet name="PL24" sheetId="3" state="hidden" r:id="rId13"/>
    <sheet name="PL25_TCDT" sheetId="25" state="hidden" r:id="rId14"/>
    <sheet name="PL26" sheetId="5" state="hidden" r:id="rId15"/>
    <sheet name="PL27" sheetId="20" state="hidden" r:id="rId16"/>
    <sheet name="PL28_TCDN" sheetId="36" state="hidden" r:id="rId17"/>
    <sheet name="PL29" sheetId="33" state="hidden" r:id="rId18"/>
    <sheet name="PL30" sheetId="32" r:id="rId19"/>
    <sheet name="PL31" sheetId="15" state="hidden" r:id="rId20"/>
    <sheet name="PL32" sheetId="16" r:id="rId21"/>
    <sheet name="PL33" sheetId="9" r:id="rId22"/>
    <sheet name="PL34" sheetId="6" r:id="rId23"/>
    <sheet name="PL35" sheetId="7" r:id="rId24"/>
    <sheet name="PL36_TCDT" sheetId="39" r:id="rId25"/>
    <sheet name="PL37" sheetId="8" r:id="rId26"/>
    <sheet name="PL38" sheetId="28" state="hidden" r:id="rId27"/>
    <sheet name="PL39" sheetId="17" r:id="rId28"/>
    <sheet name="PL41" sheetId="21" r:id="rId29"/>
    <sheet name="PL42" sheetId="29" r:id="rId30"/>
    <sheet name="PL43" sheetId="30" state="hidden" r:id="rId31"/>
    <sheet name="PL44" sheetId="31" state="hidden" r:id="rId32"/>
    <sheet name=" PL45_TCDN" sheetId="37" state="hidden" r:id="rId33"/>
    <sheet name="PL46_TCDT" sheetId="38" r:id="rId34"/>
    <sheet name="PL47" sheetId="34" state="hidden" r:id="rId35"/>
  </sheets>
  <externalReferences>
    <externalReference r:id="rId36"/>
  </externalReferences>
  <definedNames>
    <definedName name="_">#N/A</definedName>
    <definedName name="__">#N/A</definedName>
    <definedName name="___">#N/A</definedName>
    <definedName name="____">#N/A</definedName>
    <definedName name="_________a1" localSheetId="21" hidden="1">{"'Sheet1'!$L$16"}</definedName>
    <definedName name="_________a1" localSheetId="24" hidden="1">{"'Sheet1'!$L$16"}</definedName>
    <definedName name="_________a1" localSheetId="33" hidden="1">{"'Sheet1'!$L$16"}</definedName>
    <definedName name="_________a1" hidden="1">{"'Sheet1'!$L$16"}</definedName>
    <definedName name="_________PA3" localSheetId="21" hidden="1">{"'Sheet1'!$L$16"}</definedName>
    <definedName name="_________PA3" localSheetId="24" hidden="1">{"'Sheet1'!$L$16"}</definedName>
    <definedName name="_________PA3" localSheetId="33" hidden="1">{"'Sheet1'!$L$16"}</definedName>
    <definedName name="_________PA3" hidden="1">{"'Sheet1'!$L$16"}</definedName>
    <definedName name="_______a1" localSheetId="21" hidden="1">{"'Sheet1'!$L$16"}</definedName>
    <definedName name="_______a1" localSheetId="24" hidden="1">{"'Sheet1'!$L$16"}</definedName>
    <definedName name="_______a1" localSheetId="33" hidden="1">{"'Sheet1'!$L$16"}</definedName>
    <definedName name="_______a1" hidden="1">{"'Sheet1'!$L$16"}</definedName>
    <definedName name="_______PA3" localSheetId="21" hidden="1">{"'Sheet1'!$L$16"}</definedName>
    <definedName name="_______PA3" localSheetId="24" hidden="1">{"'Sheet1'!$L$16"}</definedName>
    <definedName name="_______PA3" localSheetId="33" hidden="1">{"'Sheet1'!$L$16"}</definedName>
    <definedName name="_______PA3" hidden="1">{"'Sheet1'!$L$16"}</definedName>
    <definedName name="______a1" localSheetId="21" hidden="1">{"'Sheet1'!$L$16"}</definedName>
    <definedName name="______a1" localSheetId="24" hidden="1">{"'Sheet1'!$L$16"}</definedName>
    <definedName name="______a1" localSheetId="33" hidden="1">{"'Sheet1'!$L$16"}</definedName>
    <definedName name="______a1" hidden="1">{"'Sheet1'!$L$16"}</definedName>
    <definedName name="______h1" localSheetId="21" hidden="1">{"'Sheet1'!$L$16"}</definedName>
    <definedName name="______h1" localSheetId="24" hidden="1">{"'Sheet1'!$L$16"}</definedName>
    <definedName name="______h1" localSheetId="33" hidden="1">{"'Sheet1'!$L$16"}</definedName>
    <definedName name="______h1" hidden="1">{"'Sheet1'!$L$16"}</definedName>
    <definedName name="______h10" localSheetId="21" hidden="1">{#N/A,#N/A,FALSE,"Chi tiÆt"}</definedName>
    <definedName name="______h10" localSheetId="24" hidden="1">{#N/A,#N/A,FALSE,"Chi tiÆt"}</definedName>
    <definedName name="______h10" localSheetId="33" hidden="1">{#N/A,#N/A,FALSE,"Chi tiÆt"}</definedName>
    <definedName name="______h10" hidden="1">{#N/A,#N/A,FALSE,"Chi tiÆt"}</definedName>
    <definedName name="______h2" localSheetId="21" hidden="1">{"'Sheet1'!$L$16"}</definedName>
    <definedName name="______h2" localSheetId="24" hidden="1">{"'Sheet1'!$L$16"}</definedName>
    <definedName name="______h2" localSheetId="33" hidden="1">{"'Sheet1'!$L$16"}</definedName>
    <definedName name="______h2" hidden="1">{"'Sheet1'!$L$16"}</definedName>
    <definedName name="______h3" localSheetId="21" hidden="1">{"'Sheet1'!$L$16"}</definedName>
    <definedName name="______h3" localSheetId="24" hidden="1">{"'Sheet1'!$L$16"}</definedName>
    <definedName name="______h3" localSheetId="33" hidden="1">{"'Sheet1'!$L$16"}</definedName>
    <definedName name="______h3" hidden="1">{"'Sheet1'!$L$16"}</definedName>
    <definedName name="______h5" localSheetId="21" hidden="1">{"'Sheet1'!$L$16"}</definedName>
    <definedName name="______h5" localSheetId="24" hidden="1">{"'Sheet1'!$L$16"}</definedName>
    <definedName name="______h5" localSheetId="33" hidden="1">{"'Sheet1'!$L$16"}</definedName>
    <definedName name="______h5" hidden="1">{"'Sheet1'!$L$16"}</definedName>
    <definedName name="______h6" localSheetId="21" hidden="1">{"'Sheet1'!$L$16"}</definedName>
    <definedName name="______h6" localSheetId="24" hidden="1">{"'Sheet1'!$L$16"}</definedName>
    <definedName name="______h6" localSheetId="33" hidden="1">{"'Sheet1'!$L$16"}</definedName>
    <definedName name="______h6" hidden="1">{"'Sheet1'!$L$16"}</definedName>
    <definedName name="______h7" localSheetId="21" hidden="1">{"'Sheet1'!$L$16"}</definedName>
    <definedName name="______h7" localSheetId="24" hidden="1">{"'Sheet1'!$L$16"}</definedName>
    <definedName name="______h7" localSheetId="33" hidden="1">{"'Sheet1'!$L$16"}</definedName>
    <definedName name="______h7" hidden="1">{"'Sheet1'!$L$16"}</definedName>
    <definedName name="______h8" localSheetId="21" hidden="1">{"'Sheet1'!$L$16"}</definedName>
    <definedName name="______h8" localSheetId="24" hidden="1">{"'Sheet1'!$L$16"}</definedName>
    <definedName name="______h8" localSheetId="33" hidden="1">{"'Sheet1'!$L$16"}</definedName>
    <definedName name="______h8" hidden="1">{"'Sheet1'!$L$16"}</definedName>
    <definedName name="______h9" localSheetId="21" hidden="1">{"'Sheet1'!$L$16"}</definedName>
    <definedName name="______h9" localSheetId="24" hidden="1">{"'Sheet1'!$L$16"}</definedName>
    <definedName name="______h9" localSheetId="33" hidden="1">{"'Sheet1'!$L$16"}</definedName>
    <definedName name="______h9" hidden="1">{"'Sheet1'!$L$16"}</definedName>
    <definedName name="______NSO2" localSheetId="21" hidden="1">{"'Sheet1'!$L$16"}</definedName>
    <definedName name="______NSO2" localSheetId="24" hidden="1">{"'Sheet1'!$L$16"}</definedName>
    <definedName name="______NSO2" localSheetId="33" hidden="1">{"'Sheet1'!$L$16"}</definedName>
    <definedName name="______NSO2" hidden="1">{"'Sheet1'!$L$16"}</definedName>
    <definedName name="______PA3" localSheetId="21" hidden="1">{"'Sheet1'!$L$16"}</definedName>
    <definedName name="______PA3" localSheetId="24" hidden="1">{"'Sheet1'!$L$16"}</definedName>
    <definedName name="______PA3" localSheetId="33" hidden="1">{"'Sheet1'!$L$16"}</definedName>
    <definedName name="______PA3" hidden="1">{"'Sheet1'!$L$16"}</definedName>
    <definedName name="______vl2" localSheetId="21" hidden="1">{"'Sheet1'!$L$16"}</definedName>
    <definedName name="______vl2" localSheetId="24" hidden="1">{"'Sheet1'!$L$16"}</definedName>
    <definedName name="______vl2" localSheetId="33" hidden="1">{"'Sheet1'!$L$16"}</definedName>
    <definedName name="______vl2" hidden="1">{"'Sheet1'!$L$16"}</definedName>
    <definedName name="_____a1" localSheetId="21" hidden="1">{"'Sheet1'!$L$16"}</definedName>
    <definedName name="_____a1" localSheetId="24" hidden="1">{"'Sheet1'!$L$16"}</definedName>
    <definedName name="_____a1" localSheetId="33" hidden="1">{"'Sheet1'!$L$16"}</definedName>
    <definedName name="_____a1" hidden="1">{"'Sheet1'!$L$16"}</definedName>
    <definedName name="_____h1" localSheetId="21" hidden="1">{"'Sheet1'!$L$16"}</definedName>
    <definedName name="_____h1" localSheetId="24" hidden="1">{"'Sheet1'!$L$16"}</definedName>
    <definedName name="_____h1" localSheetId="33" hidden="1">{"'Sheet1'!$L$16"}</definedName>
    <definedName name="_____h1" hidden="1">{"'Sheet1'!$L$16"}</definedName>
    <definedName name="_____h10" localSheetId="21" hidden="1">{#N/A,#N/A,FALSE,"Chi tiÆt"}</definedName>
    <definedName name="_____h10" localSheetId="24" hidden="1">{#N/A,#N/A,FALSE,"Chi tiÆt"}</definedName>
    <definedName name="_____h10" localSheetId="33" hidden="1">{#N/A,#N/A,FALSE,"Chi tiÆt"}</definedName>
    <definedName name="_____h10" hidden="1">{#N/A,#N/A,FALSE,"Chi tiÆt"}</definedName>
    <definedName name="_____h2" localSheetId="21" hidden="1">{"'Sheet1'!$L$16"}</definedName>
    <definedName name="_____h2" localSheetId="24" hidden="1">{"'Sheet1'!$L$16"}</definedName>
    <definedName name="_____h2" localSheetId="33" hidden="1">{"'Sheet1'!$L$16"}</definedName>
    <definedName name="_____h2" hidden="1">{"'Sheet1'!$L$16"}</definedName>
    <definedName name="_____h3" localSheetId="21" hidden="1">{"'Sheet1'!$L$16"}</definedName>
    <definedName name="_____h3" localSheetId="24" hidden="1">{"'Sheet1'!$L$16"}</definedName>
    <definedName name="_____h3" localSheetId="33" hidden="1">{"'Sheet1'!$L$16"}</definedName>
    <definedName name="_____h3" hidden="1">{"'Sheet1'!$L$16"}</definedName>
    <definedName name="_____h5" localSheetId="21" hidden="1">{"'Sheet1'!$L$16"}</definedName>
    <definedName name="_____h5" localSheetId="24" hidden="1">{"'Sheet1'!$L$16"}</definedName>
    <definedName name="_____h5" localSheetId="33" hidden="1">{"'Sheet1'!$L$16"}</definedName>
    <definedName name="_____h5" hidden="1">{"'Sheet1'!$L$16"}</definedName>
    <definedName name="_____h6" localSheetId="21" hidden="1">{"'Sheet1'!$L$16"}</definedName>
    <definedName name="_____h6" localSheetId="24" hidden="1">{"'Sheet1'!$L$16"}</definedName>
    <definedName name="_____h6" localSheetId="33" hidden="1">{"'Sheet1'!$L$16"}</definedName>
    <definedName name="_____h6" hidden="1">{"'Sheet1'!$L$16"}</definedName>
    <definedName name="_____h7" localSheetId="21" hidden="1">{"'Sheet1'!$L$16"}</definedName>
    <definedName name="_____h7" localSheetId="24" hidden="1">{"'Sheet1'!$L$16"}</definedName>
    <definedName name="_____h7" localSheetId="33" hidden="1">{"'Sheet1'!$L$16"}</definedName>
    <definedName name="_____h7" hidden="1">{"'Sheet1'!$L$16"}</definedName>
    <definedName name="_____h8" localSheetId="21" hidden="1">{"'Sheet1'!$L$16"}</definedName>
    <definedName name="_____h8" localSheetId="24" hidden="1">{"'Sheet1'!$L$16"}</definedName>
    <definedName name="_____h8" localSheetId="33" hidden="1">{"'Sheet1'!$L$16"}</definedName>
    <definedName name="_____h8" hidden="1">{"'Sheet1'!$L$16"}</definedName>
    <definedName name="_____h9" localSheetId="21" hidden="1">{"'Sheet1'!$L$16"}</definedName>
    <definedName name="_____h9" localSheetId="24" hidden="1">{"'Sheet1'!$L$16"}</definedName>
    <definedName name="_____h9" localSheetId="33" hidden="1">{"'Sheet1'!$L$16"}</definedName>
    <definedName name="_____h9" hidden="1">{"'Sheet1'!$L$16"}</definedName>
    <definedName name="_____NSO2" localSheetId="21" hidden="1">{"'Sheet1'!$L$16"}</definedName>
    <definedName name="_____NSO2" localSheetId="24" hidden="1">{"'Sheet1'!$L$16"}</definedName>
    <definedName name="_____NSO2" localSheetId="33" hidden="1">{"'Sheet1'!$L$16"}</definedName>
    <definedName name="_____NSO2" hidden="1">{"'Sheet1'!$L$16"}</definedName>
    <definedName name="_____PA3" localSheetId="21" hidden="1">{"'Sheet1'!$L$16"}</definedName>
    <definedName name="_____PA3" localSheetId="24" hidden="1">{"'Sheet1'!$L$16"}</definedName>
    <definedName name="_____PA3" localSheetId="33" hidden="1">{"'Sheet1'!$L$16"}</definedName>
    <definedName name="_____PA3" hidden="1">{"'Sheet1'!$L$16"}</definedName>
    <definedName name="_____vl2" localSheetId="21" hidden="1">{"'Sheet1'!$L$16"}</definedName>
    <definedName name="_____vl2" localSheetId="24" hidden="1">{"'Sheet1'!$L$16"}</definedName>
    <definedName name="_____vl2" localSheetId="33" hidden="1">{"'Sheet1'!$L$16"}</definedName>
    <definedName name="_____vl2" hidden="1">{"'Sheet1'!$L$16"}</definedName>
    <definedName name="____ban2" localSheetId="21" hidden="1">{"'Sheet1'!$L$16"}</definedName>
    <definedName name="____ban2" localSheetId="24" hidden="1">{"'Sheet1'!$L$16"}</definedName>
    <definedName name="____ban2" localSheetId="33" hidden="1">{"'Sheet1'!$L$16"}</definedName>
    <definedName name="____ban2" hidden="1">{"'Sheet1'!$L$16"}</definedName>
    <definedName name="____cep1" localSheetId="21" hidden="1">{"'Sheet1'!$L$16"}</definedName>
    <definedName name="____cep1" localSheetId="24" hidden="1">{"'Sheet1'!$L$16"}</definedName>
    <definedName name="____cep1" localSheetId="33" hidden="1">{"'Sheet1'!$L$16"}</definedName>
    <definedName name="____cep1" hidden="1">{"'Sheet1'!$L$16"}</definedName>
    <definedName name="____Coc39" localSheetId="21" hidden="1">{"'Sheet1'!$L$16"}</definedName>
    <definedName name="____Coc39" localSheetId="24" hidden="1">{"'Sheet1'!$L$16"}</definedName>
    <definedName name="____Coc39" localSheetId="33" hidden="1">{"'Sheet1'!$L$16"}</definedName>
    <definedName name="____Coc39" hidden="1">{"'Sheet1'!$L$16"}</definedName>
    <definedName name="____Goi8" localSheetId="21" hidden="1">{"'Sheet1'!$L$16"}</definedName>
    <definedName name="____Goi8" localSheetId="24" hidden="1">{"'Sheet1'!$L$16"}</definedName>
    <definedName name="____Goi8" localSheetId="33" hidden="1">{"'Sheet1'!$L$16"}</definedName>
    <definedName name="____Goi8" hidden="1">{"'Sheet1'!$L$16"}</definedName>
    <definedName name="____h1" localSheetId="21" hidden="1">{"'Sheet1'!$L$16"}</definedName>
    <definedName name="____h1" localSheetId="24" hidden="1">{"'Sheet1'!$L$16"}</definedName>
    <definedName name="____h1" localSheetId="33" hidden="1">{"'Sheet1'!$L$16"}</definedName>
    <definedName name="____h1" hidden="1">{"'Sheet1'!$L$16"}</definedName>
    <definedName name="____h10" localSheetId="21" hidden="1">{#N/A,#N/A,FALSE,"Chi tiÆt"}</definedName>
    <definedName name="____h10" localSheetId="24" hidden="1">{#N/A,#N/A,FALSE,"Chi tiÆt"}</definedName>
    <definedName name="____h10" localSheetId="33" hidden="1">{#N/A,#N/A,FALSE,"Chi tiÆt"}</definedName>
    <definedName name="____h10" hidden="1">{#N/A,#N/A,FALSE,"Chi tiÆt"}</definedName>
    <definedName name="____h2" localSheetId="21" hidden="1">{"'Sheet1'!$L$16"}</definedName>
    <definedName name="____h2" localSheetId="24" hidden="1">{"'Sheet1'!$L$16"}</definedName>
    <definedName name="____h2" localSheetId="33" hidden="1">{"'Sheet1'!$L$16"}</definedName>
    <definedName name="____h2" hidden="1">{"'Sheet1'!$L$16"}</definedName>
    <definedName name="____h3" localSheetId="21" hidden="1">{"'Sheet1'!$L$16"}</definedName>
    <definedName name="____h3" localSheetId="24" hidden="1">{"'Sheet1'!$L$16"}</definedName>
    <definedName name="____h3" localSheetId="33" hidden="1">{"'Sheet1'!$L$16"}</definedName>
    <definedName name="____h3" hidden="1">{"'Sheet1'!$L$16"}</definedName>
    <definedName name="____h5" localSheetId="21" hidden="1">{"'Sheet1'!$L$16"}</definedName>
    <definedName name="____h5" localSheetId="24" hidden="1">{"'Sheet1'!$L$16"}</definedName>
    <definedName name="____h5" localSheetId="33" hidden="1">{"'Sheet1'!$L$16"}</definedName>
    <definedName name="____h5" hidden="1">{"'Sheet1'!$L$16"}</definedName>
    <definedName name="____h6" localSheetId="21" hidden="1">{"'Sheet1'!$L$16"}</definedName>
    <definedName name="____h6" localSheetId="24" hidden="1">{"'Sheet1'!$L$16"}</definedName>
    <definedName name="____h6" localSheetId="33" hidden="1">{"'Sheet1'!$L$16"}</definedName>
    <definedName name="____h6" hidden="1">{"'Sheet1'!$L$16"}</definedName>
    <definedName name="____h7" localSheetId="21" hidden="1">{"'Sheet1'!$L$16"}</definedName>
    <definedName name="____h7" localSheetId="24" hidden="1">{"'Sheet1'!$L$16"}</definedName>
    <definedName name="____h7" localSheetId="33" hidden="1">{"'Sheet1'!$L$16"}</definedName>
    <definedName name="____h7" hidden="1">{"'Sheet1'!$L$16"}</definedName>
    <definedName name="____h8" localSheetId="21" hidden="1">{"'Sheet1'!$L$16"}</definedName>
    <definedName name="____h8" localSheetId="24" hidden="1">{"'Sheet1'!$L$16"}</definedName>
    <definedName name="____h8" localSheetId="33" hidden="1">{"'Sheet1'!$L$16"}</definedName>
    <definedName name="____h8" hidden="1">{"'Sheet1'!$L$16"}</definedName>
    <definedName name="____h9" localSheetId="21" hidden="1">{"'Sheet1'!$L$16"}</definedName>
    <definedName name="____h9" localSheetId="24" hidden="1">{"'Sheet1'!$L$16"}</definedName>
    <definedName name="____h9" localSheetId="33" hidden="1">{"'Sheet1'!$L$16"}</definedName>
    <definedName name="____h9" hidden="1">{"'Sheet1'!$L$16"}</definedName>
    <definedName name="____HUY1" localSheetId="21" hidden="1">{"'Sheet1'!$L$16"}</definedName>
    <definedName name="____HUY1" localSheetId="24" hidden="1">{"'Sheet1'!$L$16"}</definedName>
    <definedName name="____HUY1" localSheetId="33" hidden="1">{"'Sheet1'!$L$16"}</definedName>
    <definedName name="____HUY1" hidden="1">{"'Sheet1'!$L$16"}</definedName>
    <definedName name="____HUY2" localSheetId="21" hidden="1">{"'Sheet1'!$L$16"}</definedName>
    <definedName name="____HUY2" localSheetId="24" hidden="1">{"'Sheet1'!$L$16"}</definedName>
    <definedName name="____HUY2" localSheetId="33" hidden="1">{"'Sheet1'!$L$16"}</definedName>
    <definedName name="____HUY2" hidden="1">{"'Sheet1'!$L$16"}</definedName>
    <definedName name="____Lan1" localSheetId="21" hidden="1">{"'Sheet1'!$L$16"}</definedName>
    <definedName name="____Lan1" localSheetId="24" hidden="1">{"'Sheet1'!$L$16"}</definedName>
    <definedName name="____Lan1" localSheetId="33" hidden="1">{"'Sheet1'!$L$16"}</definedName>
    <definedName name="____Lan1" hidden="1">{"'Sheet1'!$L$16"}</definedName>
    <definedName name="____LAN3" localSheetId="21" hidden="1">{"'Sheet1'!$L$16"}</definedName>
    <definedName name="____LAN3" localSheetId="24" hidden="1">{"'Sheet1'!$L$16"}</definedName>
    <definedName name="____LAN3" localSheetId="33" hidden="1">{"'Sheet1'!$L$16"}</definedName>
    <definedName name="____LAN3" hidden="1">{"'Sheet1'!$L$16"}</definedName>
    <definedName name="____lk2" localSheetId="21" hidden="1">{"'Sheet1'!$L$16"}</definedName>
    <definedName name="____lk2" localSheetId="24" hidden="1">{"'Sheet1'!$L$16"}</definedName>
    <definedName name="____lk2" localSheetId="33" hidden="1">{"'Sheet1'!$L$16"}</definedName>
    <definedName name="____lk2" hidden="1">{"'Sheet1'!$L$16"}</definedName>
    <definedName name="____NSO2" localSheetId="21" hidden="1">{"'Sheet1'!$L$16"}</definedName>
    <definedName name="____NSO2" localSheetId="24" hidden="1">{"'Sheet1'!$L$16"}</definedName>
    <definedName name="____NSO2" localSheetId="33" hidden="1">{"'Sheet1'!$L$16"}</definedName>
    <definedName name="____NSO2" hidden="1">{"'Sheet1'!$L$16"}</definedName>
    <definedName name="____PA3" localSheetId="21" hidden="1">{"'Sheet1'!$L$16"}</definedName>
    <definedName name="____PA3" localSheetId="24" hidden="1">{"'Sheet1'!$L$16"}</definedName>
    <definedName name="____PA3" localSheetId="33" hidden="1">{"'Sheet1'!$L$16"}</definedName>
    <definedName name="____PA3" hidden="1">{"'Sheet1'!$L$16"}</definedName>
    <definedName name="____Pl2" localSheetId="21" hidden="1">{"'Sheet1'!$L$16"}</definedName>
    <definedName name="____Pl2" localSheetId="24" hidden="1">{"'Sheet1'!$L$16"}</definedName>
    <definedName name="____Pl2" localSheetId="33" hidden="1">{"'Sheet1'!$L$16"}</definedName>
    <definedName name="____Pl2" hidden="1">{"'Sheet1'!$L$16"}</definedName>
    <definedName name="____Tru21" localSheetId="21" hidden="1">{"'Sheet1'!$L$16"}</definedName>
    <definedName name="____Tru21" localSheetId="24" hidden="1">{"'Sheet1'!$L$16"}</definedName>
    <definedName name="____Tru21" localSheetId="33" hidden="1">{"'Sheet1'!$L$16"}</definedName>
    <definedName name="____Tru21" hidden="1">{"'Sheet1'!$L$16"}</definedName>
    <definedName name="____tt3" localSheetId="21" hidden="1">{"'Sheet1'!$L$16"}</definedName>
    <definedName name="____tt3" localSheetId="24" hidden="1">{"'Sheet1'!$L$16"}</definedName>
    <definedName name="____tt3" localSheetId="33" hidden="1">{"'Sheet1'!$L$16"}</definedName>
    <definedName name="____tt3" hidden="1">{"'Sheet1'!$L$16"}</definedName>
    <definedName name="____TT31" localSheetId="21" hidden="1">{"'Sheet1'!$L$16"}</definedName>
    <definedName name="____TT31" localSheetId="24" hidden="1">{"'Sheet1'!$L$16"}</definedName>
    <definedName name="____TT31" localSheetId="33" hidden="1">{"'Sheet1'!$L$16"}</definedName>
    <definedName name="____TT31" hidden="1">{"'Sheet1'!$L$16"}</definedName>
    <definedName name="____vl2" localSheetId="21" hidden="1">{"'Sheet1'!$L$16"}</definedName>
    <definedName name="____vl2" localSheetId="24" hidden="1">{"'Sheet1'!$L$16"}</definedName>
    <definedName name="____vl2" localSheetId="33" hidden="1">{"'Sheet1'!$L$16"}</definedName>
    <definedName name="____vl2" hidden="1">{"'Sheet1'!$L$16"}</definedName>
    <definedName name="____VM2" localSheetId="21" hidden="1">{"'Sheet1'!$L$16"}</definedName>
    <definedName name="____VM2" localSheetId="24" hidden="1">{"'Sheet1'!$L$16"}</definedName>
    <definedName name="____VM2" localSheetId="33" hidden="1">{"'Sheet1'!$L$16"}</definedName>
    <definedName name="____VM2" hidden="1">{"'Sheet1'!$L$16"}</definedName>
    <definedName name="___a1" localSheetId="21" hidden="1">{"'Sheet1'!$L$16"}</definedName>
    <definedName name="___a1" localSheetId="24" hidden="1">{"'Sheet1'!$L$16"}</definedName>
    <definedName name="___a1" localSheetId="33" hidden="1">{"'Sheet1'!$L$16"}</definedName>
    <definedName name="___a1" hidden="1">{"'Sheet1'!$L$16"}</definedName>
    <definedName name="___ban2" localSheetId="21" hidden="1">{"'Sheet1'!$L$16"}</definedName>
    <definedName name="___ban2" localSheetId="24" hidden="1">{"'Sheet1'!$L$16"}</definedName>
    <definedName name="___ban2" localSheetId="33" hidden="1">{"'Sheet1'!$L$16"}</definedName>
    <definedName name="___ban2" hidden="1">{"'Sheet1'!$L$16"}</definedName>
    <definedName name="___cep1" localSheetId="21" hidden="1">{"'Sheet1'!$L$16"}</definedName>
    <definedName name="___cep1" localSheetId="24" hidden="1">{"'Sheet1'!$L$16"}</definedName>
    <definedName name="___cep1" localSheetId="33" hidden="1">{"'Sheet1'!$L$16"}</definedName>
    <definedName name="___cep1" hidden="1">{"'Sheet1'!$L$16"}</definedName>
    <definedName name="___Coc39" localSheetId="21" hidden="1">{"'Sheet1'!$L$16"}</definedName>
    <definedName name="___Coc39" localSheetId="24" hidden="1">{"'Sheet1'!$L$16"}</definedName>
    <definedName name="___Coc39" localSheetId="33" hidden="1">{"'Sheet1'!$L$16"}</definedName>
    <definedName name="___Coc39" hidden="1">{"'Sheet1'!$L$16"}</definedName>
    <definedName name="___Goi8" localSheetId="21" hidden="1">{"'Sheet1'!$L$16"}</definedName>
    <definedName name="___Goi8" localSheetId="24" hidden="1">{"'Sheet1'!$L$16"}</definedName>
    <definedName name="___Goi8" localSheetId="33" hidden="1">{"'Sheet1'!$L$16"}</definedName>
    <definedName name="___Goi8" hidden="1">{"'Sheet1'!$L$16"}</definedName>
    <definedName name="___h1" localSheetId="21" hidden="1">{"'Sheet1'!$L$16"}</definedName>
    <definedName name="___h1" localSheetId="24" hidden="1">{"'Sheet1'!$L$16"}</definedName>
    <definedName name="___h1" localSheetId="33" hidden="1">{"'Sheet1'!$L$16"}</definedName>
    <definedName name="___h1" hidden="1">{"'Sheet1'!$L$16"}</definedName>
    <definedName name="___h10" localSheetId="21" hidden="1">{#N/A,#N/A,FALSE,"Chi tiÆt"}</definedName>
    <definedName name="___h10" localSheetId="24" hidden="1">{#N/A,#N/A,FALSE,"Chi tiÆt"}</definedName>
    <definedName name="___h10" localSheetId="33" hidden="1">{#N/A,#N/A,FALSE,"Chi tiÆt"}</definedName>
    <definedName name="___h10" hidden="1">{#N/A,#N/A,FALSE,"Chi tiÆt"}</definedName>
    <definedName name="___h2" localSheetId="21" hidden="1">{"'Sheet1'!$L$16"}</definedName>
    <definedName name="___h2" localSheetId="24" hidden="1">{"'Sheet1'!$L$16"}</definedName>
    <definedName name="___h2" localSheetId="33" hidden="1">{"'Sheet1'!$L$16"}</definedName>
    <definedName name="___h2" hidden="1">{"'Sheet1'!$L$16"}</definedName>
    <definedName name="___h3" localSheetId="21" hidden="1">{"'Sheet1'!$L$16"}</definedName>
    <definedName name="___h3" localSheetId="24" hidden="1">{"'Sheet1'!$L$16"}</definedName>
    <definedName name="___h3" localSheetId="33" hidden="1">{"'Sheet1'!$L$16"}</definedName>
    <definedName name="___h3" hidden="1">{"'Sheet1'!$L$16"}</definedName>
    <definedName name="___h5" localSheetId="21" hidden="1">{"'Sheet1'!$L$16"}</definedName>
    <definedName name="___h5" localSheetId="24" hidden="1">{"'Sheet1'!$L$16"}</definedName>
    <definedName name="___h5" localSheetId="33" hidden="1">{"'Sheet1'!$L$16"}</definedName>
    <definedName name="___h5" hidden="1">{"'Sheet1'!$L$16"}</definedName>
    <definedName name="___h6" localSheetId="21" hidden="1">{"'Sheet1'!$L$16"}</definedName>
    <definedName name="___h6" localSheetId="24" hidden="1">{"'Sheet1'!$L$16"}</definedName>
    <definedName name="___h6" localSheetId="33" hidden="1">{"'Sheet1'!$L$16"}</definedName>
    <definedName name="___h6" hidden="1">{"'Sheet1'!$L$16"}</definedName>
    <definedName name="___h7" localSheetId="21" hidden="1">{"'Sheet1'!$L$16"}</definedName>
    <definedName name="___h7" localSheetId="24" hidden="1">{"'Sheet1'!$L$16"}</definedName>
    <definedName name="___h7" localSheetId="33" hidden="1">{"'Sheet1'!$L$16"}</definedName>
    <definedName name="___h7" hidden="1">{"'Sheet1'!$L$16"}</definedName>
    <definedName name="___h8" localSheetId="21" hidden="1">{"'Sheet1'!$L$16"}</definedName>
    <definedName name="___h8" localSheetId="24" hidden="1">{"'Sheet1'!$L$16"}</definedName>
    <definedName name="___h8" localSheetId="33" hidden="1">{"'Sheet1'!$L$16"}</definedName>
    <definedName name="___h8" hidden="1">{"'Sheet1'!$L$16"}</definedName>
    <definedName name="___h9" localSheetId="21" hidden="1">{"'Sheet1'!$L$16"}</definedName>
    <definedName name="___h9" localSheetId="24" hidden="1">{"'Sheet1'!$L$16"}</definedName>
    <definedName name="___h9" localSheetId="33" hidden="1">{"'Sheet1'!$L$16"}</definedName>
    <definedName name="___h9" hidden="1">{"'Sheet1'!$L$16"}</definedName>
    <definedName name="___HUY1" localSheetId="21" hidden="1">{"'Sheet1'!$L$16"}</definedName>
    <definedName name="___HUY1" localSheetId="24" hidden="1">{"'Sheet1'!$L$16"}</definedName>
    <definedName name="___HUY1" localSheetId="33" hidden="1">{"'Sheet1'!$L$16"}</definedName>
    <definedName name="___HUY1" hidden="1">{"'Sheet1'!$L$16"}</definedName>
    <definedName name="___HUY2" localSheetId="21" hidden="1">{"'Sheet1'!$L$16"}</definedName>
    <definedName name="___HUY2" localSheetId="24" hidden="1">{"'Sheet1'!$L$16"}</definedName>
    <definedName name="___HUY2" localSheetId="33" hidden="1">{"'Sheet1'!$L$16"}</definedName>
    <definedName name="___HUY2" hidden="1">{"'Sheet1'!$L$16"}</definedName>
    <definedName name="___Lan1" localSheetId="21" hidden="1">{"'Sheet1'!$L$16"}</definedName>
    <definedName name="___Lan1" localSheetId="24" hidden="1">{"'Sheet1'!$L$16"}</definedName>
    <definedName name="___Lan1" localSheetId="33" hidden="1">{"'Sheet1'!$L$16"}</definedName>
    <definedName name="___Lan1" hidden="1">{"'Sheet1'!$L$16"}</definedName>
    <definedName name="___LAN3" localSheetId="21" hidden="1">{"'Sheet1'!$L$16"}</definedName>
    <definedName name="___LAN3" localSheetId="24" hidden="1">{"'Sheet1'!$L$16"}</definedName>
    <definedName name="___LAN3" localSheetId="33" hidden="1">{"'Sheet1'!$L$16"}</definedName>
    <definedName name="___LAN3" hidden="1">{"'Sheet1'!$L$16"}</definedName>
    <definedName name="___lk2" localSheetId="21" hidden="1">{"'Sheet1'!$L$16"}</definedName>
    <definedName name="___lk2" localSheetId="24" hidden="1">{"'Sheet1'!$L$16"}</definedName>
    <definedName name="___lk2" localSheetId="33" hidden="1">{"'Sheet1'!$L$16"}</definedName>
    <definedName name="___lk2" hidden="1">{"'Sheet1'!$L$16"}</definedName>
    <definedName name="___NSO2" localSheetId="21" hidden="1">{"'Sheet1'!$L$16"}</definedName>
    <definedName name="___NSO2" localSheetId="24" hidden="1">{"'Sheet1'!$L$16"}</definedName>
    <definedName name="___NSO2" localSheetId="33" hidden="1">{"'Sheet1'!$L$16"}</definedName>
    <definedName name="___NSO2" hidden="1">{"'Sheet1'!$L$16"}</definedName>
    <definedName name="___PA3" localSheetId="21" hidden="1">{"'Sheet1'!$L$16"}</definedName>
    <definedName name="___PA3" localSheetId="24" hidden="1">{"'Sheet1'!$L$16"}</definedName>
    <definedName name="___PA3" localSheetId="33" hidden="1">{"'Sheet1'!$L$16"}</definedName>
    <definedName name="___PA3" hidden="1">{"'Sheet1'!$L$16"}</definedName>
    <definedName name="___Pl2" localSheetId="21" hidden="1">{"'Sheet1'!$L$16"}</definedName>
    <definedName name="___Pl2" localSheetId="24" hidden="1">{"'Sheet1'!$L$16"}</definedName>
    <definedName name="___Pl2" localSheetId="33" hidden="1">{"'Sheet1'!$L$16"}</definedName>
    <definedName name="___Pl2" hidden="1">{"'Sheet1'!$L$16"}</definedName>
    <definedName name="___Tru21" localSheetId="21" hidden="1">{"'Sheet1'!$L$16"}</definedName>
    <definedName name="___Tru21" localSheetId="24" hidden="1">{"'Sheet1'!$L$16"}</definedName>
    <definedName name="___Tru21" localSheetId="33" hidden="1">{"'Sheet1'!$L$16"}</definedName>
    <definedName name="___Tru21" hidden="1">{"'Sheet1'!$L$16"}</definedName>
    <definedName name="___tt3" localSheetId="21" hidden="1">{"'Sheet1'!$L$16"}</definedName>
    <definedName name="___tt3" localSheetId="24" hidden="1">{"'Sheet1'!$L$16"}</definedName>
    <definedName name="___tt3" localSheetId="33" hidden="1">{"'Sheet1'!$L$16"}</definedName>
    <definedName name="___tt3" hidden="1">{"'Sheet1'!$L$16"}</definedName>
    <definedName name="___TT31" localSheetId="21" hidden="1">{"'Sheet1'!$L$16"}</definedName>
    <definedName name="___TT31" localSheetId="24" hidden="1">{"'Sheet1'!$L$16"}</definedName>
    <definedName name="___TT31" localSheetId="33" hidden="1">{"'Sheet1'!$L$16"}</definedName>
    <definedName name="___TT31" hidden="1">{"'Sheet1'!$L$16"}</definedName>
    <definedName name="___vl2" localSheetId="21" hidden="1">{"'Sheet1'!$L$16"}</definedName>
    <definedName name="___vl2" localSheetId="24" hidden="1">{"'Sheet1'!$L$16"}</definedName>
    <definedName name="___vl2" localSheetId="33" hidden="1">{"'Sheet1'!$L$16"}</definedName>
    <definedName name="___vl2" hidden="1">{"'Sheet1'!$L$16"}</definedName>
    <definedName name="___VM2" localSheetId="21" hidden="1">{"'Sheet1'!$L$16"}</definedName>
    <definedName name="___VM2" localSheetId="24" hidden="1">{"'Sheet1'!$L$16"}</definedName>
    <definedName name="___VM2" localSheetId="33" hidden="1">{"'Sheet1'!$L$16"}</definedName>
    <definedName name="___VM2" hidden="1">{"'Sheet1'!$L$16"}</definedName>
    <definedName name="__a1" localSheetId="21" hidden="1">{"'Sheet1'!$L$16"}</definedName>
    <definedName name="__a1" localSheetId="24" hidden="1">{"'Sheet1'!$L$16"}</definedName>
    <definedName name="__a1" localSheetId="33" hidden="1">{"'Sheet1'!$L$16"}</definedName>
    <definedName name="__a1" hidden="1">{"'Sheet1'!$L$16"}</definedName>
    <definedName name="__ban2" localSheetId="21" hidden="1">{"'Sheet1'!$L$16"}</definedName>
    <definedName name="__ban2" localSheetId="24" hidden="1">{"'Sheet1'!$L$16"}</definedName>
    <definedName name="__ban2" localSheetId="33" hidden="1">{"'Sheet1'!$L$16"}</definedName>
    <definedName name="__ban2" hidden="1">{"'Sheet1'!$L$16"}</definedName>
    <definedName name="__cep1" localSheetId="21" hidden="1">{"'Sheet1'!$L$16"}</definedName>
    <definedName name="__cep1" localSheetId="24" hidden="1">{"'Sheet1'!$L$16"}</definedName>
    <definedName name="__cep1" localSheetId="33" hidden="1">{"'Sheet1'!$L$16"}</definedName>
    <definedName name="__cep1" hidden="1">{"'Sheet1'!$L$16"}</definedName>
    <definedName name="__Coc39" localSheetId="21" hidden="1">{"'Sheet1'!$L$16"}</definedName>
    <definedName name="__Coc39" localSheetId="24" hidden="1">{"'Sheet1'!$L$16"}</definedName>
    <definedName name="__Coc39" localSheetId="33" hidden="1">{"'Sheet1'!$L$16"}</definedName>
    <definedName name="__Coc39" hidden="1">{"'Sheet1'!$L$16"}</definedName>
    <definedName name="__Goi8" localSheetId="21" hidden="1">{"'Sheet1'!$L$16"}</definedName>
    <definedName name="__Goi8" localSheetId="24" hidden="1">{"'Sheet1'!$L$16"}</definedName>
    <definedName name="__Goi8" localSheetId="33" hidden="1">{"'Sheet1'!$L$16"}</definedName>
    <definedName name="__Goi8" hidden="1">{"'Sheet1'!$L$16"}</definedName>
    <definedName name="__h1" localSheetId="21" hidden="1">{"'Sheet1'!$L$16"}</definedName>
    <definedName name="__h1" localSheetId="24" hidden="1">{"'Sheet1'!$L$16"}</definedName>
    <definedName name="__h1" localSheetId="33" hidden="1">{"'Sheet1'!$L$16"}</definedName>
    <definedName name="__h1" hidden="1">{"'Sheet1'!$L$16"}</definedName>
    <definedName name="__h10" localSheetId="21" hidden="1">{#N/A,#N/A,FALSE,"Chi tiÆt"}</definedName>
    <definedName name="__h10" localSheetId="24" hidden="1">{#N/A,#N/A,FALSE,"Chi tiÆt"}</definedName>
    <definedName name="__h10" localSheetId="33" hidden="1">{#N/A,#N/A,FALSE,"Chi tiÆt"}</definedName>
    <definedName name="__h10" hidden="1">{#N/A,#N/A,FALSE,"Chi tiÆt"}</definedName>
    <definedName name="__h2" localSheetId="21" hidden="1">{"'Sheet1'!$L$16"}</definedName>
    <definedName name="__h2" localSheetId="24" hidden="1">{"'Sheet1'!$L$16"}</definedName>
    <definedName name="__h2" localSheetId="33" hidden="1">{"'Sheet1'!$L$16"}</definedName>
    <definedName name="__h2" hidden="1">{"'Sheet1'!$L$16"}</definedName>
    <definedName name="__h3" localSheetId="21" hidden="1">{"'Sheet1'!$L$16"}</definedName>
    <definedName name="__h3" localSheetId="24" hidden="1">{"'Sheet1'!$L$16"}</definedName>
    <definedName name="__h3" localSheetId="33" hidden="1">{"'Sheet1'!$L$16"}</definedName>
    <definedName name="__h3" hidden="1">{"'Sheet1'!$L$16"}</definedName>
    <definedName name="__h5" localSheetId="21" hidden="1">{"'Sheet1'!$L$16"}</definedName>
    <definedName name="__h5" localSheetId="24" hidden="1">{"'Sheet1'!$L$16"}</definedName>
    <definedName name="__h5" localSheetId="33" hidden="1">{"'Sheet1'!$L$16"}</definedName>
    <definedName name="__h5" hidden="1">{"'Sheet1'!$L$16"}</definedName>
    <definedName name="__h6" localSheetId="21" hidden="1">{"'Sheet1'!$L$16"}</definedName>
    <definedName name="__h6" localSheetId="24" hidden="1">{"'Sheet1'!$L$16"}</definedName>
    <definedName name="__h6" localSheetId="33" hidden="1">{"'Sheet1'!$L$16"}</definedName>
    <definedName name="__h6" hidden="1">{"'Sheet1'!$L$16"}</definedName>
    <definedName name="__h7" localSheetId="21" hidden="1">{"'Sheet1'!$L$16"}</definedName>
    <definedName name="__h7" localSheetId="24" hidden="1">{"'Sheet1'!$L$16"}</definedName>
    <definedName name="__h7" localSheetId="33" hidden="1">{"'Sheet1'!$L$16"}</definedName>
    <definedName name="__h7" hidden="1">{"'Sheet1'!$L$16"}</definedName>
    <definedName name="__h8" localSheetId="21" hidden="1">{"'Sheet1'!$L$16"}</definedName>
    <definedName name="__h8" localSheetId="24" hidden="1">{"'Sheet1'!$L$16"}</definedName>
    <definedName name="__h8" localSheetId="33" hidden="1">{"'Sheet1'!$L$16"}</definedName>
    <definedName name="__h8" hidden="1">{"'Sheet1'!$L$16"}</definedName>
    <definedName name="__h9" localSheetId="21" hidden="1">{"'Sheet1'!$L$16"}</definedName>
    <definedName name="__h9" localSheetId="24" hidden="1">{"'Sheet1'!$L$16"}</definedName>
    <definedName name="__h9" localSheetId="33" hidden="1">{"'Sheet1'!$L$16"}</definedName>
    <definedName name="__h9" hidden="1">{"'Sheet1'!$L$16"}</definedName>
    <definedName name="__HUY1" localSheetId="21" hidden="1">{"'Sheet1'!$L$16"}</definedName>
    <definedName name="__HUY1" localSheetId="24" hidden="1">{"'Sheet1'!$L$16"}</definedName>
    <definedName name="__HUY1" localSheetId="33" hidden="1">{"'Sheet1'!$L$16"}</definedName>
    <definedName name="__HUY1" hidden="1">{"'Sheet1'!$L$16"}</definedName>
    <definedName name="__HUY2" localSheetId="21" hidden="1">{"'Sheet1'!$L$16"}</definedName>
    <definedName name="__HUY2" localSheetId="24" hidden="1">{"'Sheet1'!$L$16"}</definedName>
    <definedName name="__HUY2" localSheetId="33" hidden="1">{"'Sheet1'!$L$16"}</definedName>
    <definedName name="__HUY2" hidden="1">{"'Sheet1'!$L$16"}</definedName>
    <definedName name="__Lan1" localSheetId="21" hidden="1">{"'Sheet1'!$L$16"}</definedName>
    <definedName name="__Lan1" localSheetId="24" hidden="1">{"'Sheet1'!$L$16"}</definedName>
    <definedName name="__Lan1" localSheetId="33" hidden="1">{"'Sheet1'!$L$16"}</definedName>
    <definedName name="__Lan1" hidden="1">{"'Sheet1'!$L$16"}</definedName>
    <definedName name="__LAN3" localSheetId="21" hidden="1">{"'Sheet1'!$L$16"}</definedName>
    <definedName name="__LAN3" localSheetId="24" hidden="1">{"'Sheet1'!$L$16"}</definedName>
    <definedName name="__LAN3" localSheetId="33" hidden="1">{"'Sheet1'!$L$16"}</definedName>
    <definedName name="__LAN3" hidden="1">{"'Sheet1'!$L$16"}</definedName>
    <definedName name="__lk2" localSheetId="21" hidden="1">{"'Sheet1'!$L$16"}</definedName>
    <definedName name="__lk2" localSheetId="24" hidden="1">{"'Sheet1'!$L$16"}</definedName>
    <definedName name="__lk2" localSheetId="33" hidden="1">{"'Sheet1'!$L$16"}</definedName>
    <definedName name="__lk2" hidden="1">{"'Sheet1'!$L$16"}</definedName>
    <definedName name="__NSO2" localSheetId="21" hidden="1">{"'Sheet1'!$L$16"}</definedName>
    <definedName name="__NSO2" localSheetId="24" hidden="1">{"'Sheet1'!$L$16"}</definedName>
    <definedName name="__NSO2" localSheetId="33" hidden="1">{"'Sheet1'!$L$16"}</definedName>
    <definedName name="__NSO2" hidden="1">{"'Sheet1'!$L$16"}</definedName>
    <definedName name="__PA3" localSheetId="21" hidden="1">{"'Sheet1'!$L$16"}</definedName>
    <definedName name="__PA3" localSheetId="24" hidden="1">{"'Sheet1'!$L$16"}</definedName>
    <definedName name="__PA3" localSheetId="33" hidden="1">{"'Sheet1'!$L$16"}</definedName>
    <definedName name="__PA3" hidden="1">{"'Sheet1'!$L$16"}</definedName>
    <definedName name="__Pl2" localSheetId="21" hidden="1">{"'Sheet1'!$L$16"}</definedName>
    <definedName name="__Pl2" localSheetId="24" hidden="1">{"'Sheet1'!$L$16"}</definedName>
    <definedName name="__Pl2" localSheetId="33" hidden="1">{"'Sheet1'!$L$16"}</definedName>
    <definedName name="__Pl2" hidden="1">{"'Sheet1'!$L$16"}</definedName>
    <definedName name="__Tru21" localSheetId="21" hidden="1">{"'Sheet1'!$L$16"}</definedName>
    <definedName name="__Tru21" localSheetId="24" hidden="1">{"'Sheet1'!$L$16"}</definedName>
    <definedName name="__Tru21" localSheetId="33" hidden="1">{"'Sheet1'!$L$16"}</definedName>
    <definedName name="__Tru21" hidden="1">{"'Sheet1'!$L$16"}</definedName>
    <definedName name="__tt3" localSheetId="21" hidden="1">{"'Sheet1'!$L$16"}</definedName>
    <definedName name="__tt3" localSheetId="24" hidden="1">{"'Sheet1'!$L$16"}</definedName>
    <definedName name="__tt3" localSheetId="33" hidden="1">{"'Sheet1'!$L$16"}</definedName>
    <definedName name="__tt3" hidden="1">{"'Sheet1'!$L$16"}</definedName>
    <definedName name="__TT31" localSheetId="21" hidden="1">{"'Sheet1'!$L$16"}</definedName>
    <definedName name="__TT31" localSheetId="24" hidden="1">{"'Sheet1'!$L$16"}</definedName>
    <definedName name="__TT31" localSheetId="33" hidden="1">{"'Sheet1'!$L$16"}</definedName>
    <definedName name="__TT31" hidden="1">{"'Sheet1'!$L$16"}</definedName>
    <definedName name="__vl2" localSheetId="21" hidden="1">{"'Sheet1'!$L$16"}</definedName>
    <definedName name="__vl2" localSheetId="24" hidden="1">{"'Sheet1'!$L$16"}</definedName>
    <definedName name="__vl2" localSheetId="33" hidden="1">{"'Sheet1'!$L$16"}</definedName>
    <definedName name="__vl2" hidden="1">{"'Sheet1'!$L$16"}</definedName>
    <definedName name="__VM2" localSheetId="21" hidden="1">{"'Sheet1'!$L$16"}</definedName>
    <definedName name="__VM2" localSheetId="24" hidden="1">{"'Sheet1'!$L$16"}</definedName>
    <definedName name="__VM2" localSheetId="33" hidden="1">{"'Sheet1'!$L$16"}</definedName>
    <definedName name="__VM2" hidden="1">{"'Sheet1'!$L$16"}</definedName>
    <definedName name="_1" localSheetId="21">#REF!</definedName>
    <definedName name="_1">#REF!</definedName>
    <definedName name="_1BA2500" localSheetId="21">#REF!</definedName>
    <definedName name="_1BA2500">#REF!</definedName>
    <definedName name="_1BA3250" localSheetId="21">#REF!</definedName>
    <definedName name="_1BA3250">#REF!</definedName>
    <definedName name="_1BA400P" localSheetId="21">#REF!</definedName>
    <definedName name="_1BA400P">#REF!</definedName>
    <definedName name="_1CAP001" localSheetId="21">#REF!</definedName>
    <definedName name="_1CAP001">#REF!</definedName>
    <definedName name="_1DAU002" localSheetId="21">#REF!</definedName>
    <definedName name="_1DAU002">#REF!</definedName>
    <definedName name="_1DDAY03" localSheetId="21">#REF!</definedName>
    <definedName name="_1DDAY03">#REF!</definedName>
    <definedName name="_1DDTT01" localSheetId="21">#REF!</definedName>
    <definedName name="_1DDTT01">#REF!</definedName>
    <definedName name="_1FCO101" localSheetId="21">#REF!</definedName>
    <definedName name="_1FCO101">#REF!</definedName>
    <definedName name="_1GIA101" localSheetId="21">#REF!</definedName>
    <definedName name="_1GIA101">#REF!</definedName>
    <definedName name="_1LA1001" localSheetId="21">#REF!</definedName>
    <definedName name="_1LA1001">#REF!</definedName>
    <definedName name="_1MCCBO2" localSheetId="21">#REF!</definedName>
    <definedName name="_1MCCBO2">#REF!</definedName>
    <definedName name="_1PKCAP1" localSheetId="21">#REF!</definedName>
    <definedName name="_1PKCAP1">#REF!</definedName>
    <definedName name="_1PKTT01" localSheetId="21">#REF!</definedName>
    <definedName name="_1PKTT01">#REF!</definedName>
    <definedName name="_1TCD101" localSheetId="21">#REF!</definedName>
    <definedName name="_1TCD101">#REF!</definedName>
    <definedName name="_1TCD201" localSheetId="21">#REF!</definedName>
    <definedName name="_1TCD201">#REF!</definedName>
    <definedName name="_1TD2001" localSheetId="21">#REF!</definedName>
    <definedName name="_1TD2001">#REF!</definedName>
    <definedName name="_1TIHT01" localSheetId="21">#REF!</definedName>
    <definedName name="_1TIHT01">#REF!</definedName>
    <definedName name="_1TRU121" localSheetId="21">#REF!</definedName>
    <definedName name="_1TRU121">#REF!</definedName>
    <definedName name="_2" localSheetId="21">#REF!</definedName>
    <definedName name="_2">#REF!</definedName>
    <definedName name="_2BLA100" localSheetId="21">#REF!</definedName>
    <definedName name="_2BLA100">#REF!</definedName>
    <definedName name="_2DAL201" localSheetId="21">#REF!</definedName>
    <definedName name="_2DAL201">#REF!</definedName>
    <definedName name="_3BLXMD" localSheetId="21">#REF!</definedName>
    <definedName name="_3BLXMD">#REF!</definedName>
    <definedName name="_3TU0609" localSheetId="21">#REF!</definedName>
    <definedName name="_3TU0609">#REF!</definedName>
    <definedName name="_4CNT240" localSheetId="21">#REF!</definedName>
    <definedName name="_4CNT240">#REF!</definedName>
    <definedName name="_4CTL240" localSheetId="21">#REF!</definedName>
    <definedName name="_4CTL240">#REF!</definedName>
    <definedName name="_4FCO100" localSheetId="21">#REF!</definedName>
    <definedName name="_4FCO100">#REF!</definedName>
    <definedName name="_4HDCTT4" localSheetId="21">#REF!</definedName>
    <definedName name="_4HDCTT4">#REF!</definedName>
    <definedName name="_4HNCTT4" localSheetId="21">#REF!</definedName>
    <definedName name="_4HNCTT4">#REF!</definedName>
    <definedName name="_4LBCO01" localSheetId="21">#REF!</definedName>
    <definedName name="_4LBCO01">#REF!</definedName>
    <definedName name="_a1" localSheetId="21" hidden="1">{"'Sheet1'!$L$16"}</definedName>
    <definedName name="_a1" localSheetId="24" hidden="1">{"'Sheet1'!$L$16"}</definedName>
    <definedName name="_a1" localSheetId="33" hidden="1">{"'Sheet1'!$L$16"}</definedName>
    <definedName name="_a1" hidden="1">{"'Sheet1'!$L$16"}</definedName>
    <definedName name="_ban2" localSheetId="21" hidden="1">{"'Sheet1'!$L$16"}</definedName>
    <definedName name="_ban2" localSheetId="24" hidden="1">{"'Sheet1'!$L$16"}</definedName>
    <definedName name="_ban2" localSheetId="33" hidden="1">{"'Sheet1'!$L$16"}</definedName>
    <definedName name="_ban2" hidden="1">{"'Sheet1'!$L$16"}</definedName>
    <definedName name="_cep1" localSheetId="21" hidden="1">{"'Sheet1'!$L$16"}</definedName>
    <definedName name="_cep1" localSheetId="24" hidden="1">{"'Sheet1'!$L$16"}</definedName>
    <definedName name="_cep1" localSheetId="33" hidden="1">{"'Sheet1'!$L$16"}</definedName>
    <definedName name="_cep1" hidden="1">{"'Sheet1'!$L$16"}</definedName>
    <definedName name="_Coc39" localSheetId="21" hidden="1">{"'Sheet1'!$L$16"}</definedName>
    <definedName name="_Coc39" localSheetId="24" hidden="1">{"'Sheet1'!$L$16"}</definedName>
    <definedName name="_Coc39" localSheetId="33" hidden="1">{"'Sheet1'!$L$16"}</definedName>
    <definedName name="_Coc39" hidden="1">{"'Sheet1'!$L$16"}</definedName>
    <definedName name="_CON1" localSheetId="21">#REF!</definedName>
    <definedName name="_CON1">#REF!</definedName>
    <definedName name="_CON2" localSheetId="21">#REF!</definedName>
    <definedName name="_CON2">#REF!</definedName>
    <definedName name="_Fill" localSheetId="21">#REF!</definedName>
    <definedName name="_Fill" hidden="1">#REF!</definedName>
    <definedName name="_xlnm._FilterDatabase" localSheetId="33" hidden="1">PL46_TCDT!$A$11:$AM$147</definedName>
    <definedName name="_Goi8" localSheetId="21" hidden="1">{"'Sheet1'!$L$16"}</definedName>
    <definedName name="_Goi8" localSheetId="24" hidden="1">{"'Sheet1'!$L$16"}</definedName>
    <definedName name="_Goi8" localSheetId="33" hidden="1">{"'Sheet1'!$L$16"}</definedName>
    <definedName name="_Goi8" hidden="1">{"'Sheet1'!$L$16"}</definedName>
    <definedName name="_h1" localSheetId="21" hidden="1">{"'Sheet1'!$L$16"}</definedName>
    <definedName name="_h1" localSheetId="24" hidden="1">{"'Sheet1'!$L$16"}</definedName>
    <definedName name="_h1" localSheetId="33" hidden="1">{"'Sheet1'!$L$16"}</definedName>
    <definedName name="_h1" hidden="1">{"'Sheet1'!$L$16"}</definedName>
    <definedName name="_h10" localSheetId="21" hidden="1">{#N/A,#N/A,FALSE,"Chi tiÆt"}</definedName>
    <definedName name="_h10" localSheetId="24" hidden="1">{#N/A,#N/A,FALSE,"Chi tiÆt"}</definedName>
    <definedName name="_h10" localSheetId="33" hidden="1">{#N/A,#N/A,FALSE,"Chi tiÆt"}</definedName>
    <definedName name="_h10" hidden="1">{#N/A,#N/A,FALSE,"Chi tiÆt"}</definedName>
    <definedName name="_h2" localSheetId="21" hidden="1">{"'Sheet1'!$L$16"}</definedName>
    <definedName name="_h2" localSheetId="24" hidden="1">{"'Sheet1'!$L$16"}</definedName>
    <definedName name="_h2" localSheetId="33" hidden="1">{"'Sheet1'!$L$16"}</definedName>
    <definedName name="_h2" hidden="1">{"'Sheet1'!$L$16"}</definedName>
    <definedName name="_h3" localSheetId="21" hidden="1">{"'Sheet1'!$L$16"}</definedName>
    <definedName name="_h3" localSheetId="24" hidden="1">{"'Sheet1'!$L$16"}</definedName>
    <definedName name="_h3" localSheetId="33" hidden="1">{"'Sheet1'!$L$16"}</definedName>
    <definedName name="_h3" hidden="1">{"'Sheet1'!$L$16"}</definedName>
    <definedName name="_h5" localSheetId="21" hidden="1">{"'Sheet1'!$L$16"}</definedName>
    <definedName name="_h5" localSheetId="24" hidden="1">{"'Sheet1'!$L$16"}</definedName>
    <definedName name="_h5" localSheetId="33" hidden="1">{"'Sheet1'!$L$16"}</definedName>
    <definedName name="_h5" hidden="1">{"'Sheet1'!$L$16"}</definedName>
    <definedName name="_h6" localSheetId="21" hidden="1">{"'Sheet1'!$L$16"}</definedName>
    <definedName name="_h6" localSheetId="24" hidden="1">{"'Sheet1'!$L$16"}</definedName>
    <definedName name="_h6" localSheetId="33" hidden="1">{"'Sheet1'!$L$16"}</definedName>
    <definedName name="_h6" hidden="1">{"'Sheet1'!$L$16"}</definedName>
    <definedName name="_h7" localSheetId="21" hidden="1">{"'Sheet1'!$L$16"}</definedName>
    <definedName name="_h7" localSheetId="24" hidden="1">{"'Sheet1'!$L$16"}</definedName>
    <definedName name="_h7" localSheetId="33" hidden="1">{"'Sheet1'!$L$16"}</definedName>
    <definedName name="_h7" hidden="1">{"'Sheet1'!$L$16"}</definedName>
    <definedName name="_h8" localSheetId="21" hidden="1">{"'Sheet1'!$L$16"}</definedName>
    <definedName name="_h8" localSheetId="24" hidden="1">{"'Sheet1'!$L$16"}</definedName>
    <definedName name="_h8" localSheetId="33" hidden="1">{"'Sheet1'!$L$16"}</definedName>
    <definedName name="_h8" hidden="1">{"'Sheet1'!$L$16"}</definedName>
    <definedName name="_h9" localSheetId="21" hidden="1">{"'Sheet1'!$L$16"}</definedName>
    <definedName name="_h9" localSheetId="24" hidden="1">{"'Sheet1'!$L$16"}</definedName>
    <definedName name="_h9" localSheetId="33" hidden="1">{"'Sheet1'!$L$16"}</definedName>
    <definedName name="_h9" hidden="1">{"'Sheet1'!$L$16"}</definedName>
    <definedName name="_HUY1" localSheetId="21" hidden="1">{"'Sheet1'!$L$16"}</definedName>
    <definedName name="_HUY1" localSheetId="24" hidden="1">{"'Sheet1'!$L$16"}</definedName>
    <definedName name="_HUY1" localSheetId="33" hidden="1">{"'Sheet1'!$L$16"}</definedName>
    <definedName name="_HUY1" hidden="1">{"'Sheet1'!$L$16"}</definedName>
    <definedName name="_HUY2" localSheetId="21" hidden="1">{"'Sheet1'!$L$16"}</definedName>
    <definedName name="_HUY2" localSheetId="24" hidden="1">{"'Sheet1'!$L$16"}</definedName>
    <definedName name="_HUY2" localSheetId="33" hidden="1">{"'Sheet1'!$L$16"}</definedName>
    <definedName name="_HUY2" hidden="1">{"'Sheet1'!$L$16"}</definedName>
    <definedName name="_Key1" localSheetId="21" hidden="1">#REF!</definedName>
    <definedName name="_Key1" hidden="1">#REF!</definedName>
    <definedName name="_Key2" localSheetId="21" hidden="1">#REF!</definedName>
    <definedName name="_Key2" hidden="1">#REF!</definedName>
    <definedName name="_Lan1" localSheetId="21" hidden="1">{"'Sheet1'!$L$16"}</definedName>
    <definedName name="_Lan1" localSheetId="24" hidden="1">{"'Sheet1'!$L$16"}</definedName>
    <definedName name="_Lan1" localSheetId="33" hidden="1">{"'Sheet1'!$L$16"}</definedName>
    <definedName name="_Lan1" hidden="1">{"'Sheet1'!$L$16"}</definedName>
    <definedName name="_LAN3" localSheetId="21" hidden="1">{"'Sheet1'!$L$16"}</definedName>
    <definedName name="_LAN3" localSheetId="24" hidden="1">{"'Sheet1'!$L$16"}</definedName>
    <definedName name="_LAN3" localSheetId="33" hidden="1">{"'Sheet1'!$L$16"}</definedName>
    <definedName name="_LAN3" hidden="1">{"'Sheet1'!$L$16"}</definedName>
    <definedName name="_lap1" localSheetId="21">#REF!</definedName>
    <definedName name="_lap1">#REF!</definedName>
    <definedName name="_lap2" localSheetId="21">#REF!</definedName>
    <definedName name="_lap2">#REF!</definedName>
    <definedName name="_lk2" localSheetId="21" hidden="1">{"'Sheet1'!$L$16"}</definedName>
    <definedName name="_lk2" localSheetId="24" hidden="1">{"'Sheet1'!$L$16"}</definedName>
    <definedName name="_lk2" localSheetId="33" hidden="1">{"'Sheet1'!$L$16"}</definedName>
    <definedName name="_lk2" hidden="1">{"'Sheet1'!$L$16"}</definedName>
    <definedName name="_NET2" localSheetId="21">#REF!</definedName>
    <definedName name="_NET2">#REF!</definedName>
    <definedName name="_NSO2" localSheetId="21" hidden="1">{"'Sheet1'!$L$16"}</definedName>
    <definedName name="_NSO2" localSheetId="24" hidden="1">{"'Sheet1'!$L$16"}</definedName>
    <definedName name="_NSO2" localSheetId="33" hidden="1">{"'Sheet1'!$L$16"}</definedName>
    <definedName name="_NSO2" hidden="1">{"'Sheet1'!$L$16"}</definedName>
    <definedName name="_Order1" hidden="1">255</definedName>
    <definedName name="_Order2" hidden="1">255</definedName>
    <definedName name="_PA3" localSheetId="21" hidden="1">{"'Sheet1'!$L$16"}</definedName>
    <definedName name="_PA3" localSheetId="24" hidden="1">{"'Sheet1'!$L$16"}</definedName>
    <definedName name="_PA3" localSheetId="33" hidden="1">{"'Sheet1'!$L$16"}</definedName>
    <definedName name="_PA3" hidden="1">{"'Sheet1'!$L$16"}</definedName>
    <definedName name="_Pl2" localSheetId="21" hidden="1">{"'Sheet1'!$L$16"}</definedName>
    <definedName name="_Pl2" localSheetId="24" hidden="1">{"'Sheet1'!$L$16"}</definedName>
    <definedName name="_Pl2" localSheetId="33" hidden="1">{"'Sheet1'!$L$16"}</definedName>
    <definedName name="_Pl2" hidden="1">{"'Sheet1'!$L$16"}</definedName>
    <definedName name="_Sort" localSheetId="21" hidden="1">#REF!</definedName>
    <definedName name="_Sort" hidden="1">#REF!</definedName>
    <definedName name="_TK155" localSheetId="21">#REF!</definedName>
    <definedName name="_TK155">#REF!</definedName>
    <definedName name="_TK422" localSheetId="21">#REF!</definedName>
    <definedName name="_TK422">#REF!</definedName>
    <definedName name="_Tru21" localSheetId="21" hidden="1">{"'Sheet1'!$L$16"}</definedName>
    <definedName name="_Tru21" localSheetId="24" hidden="1">{"'Sheet1'!$L$16"}</definedName>
    <definedName name="_Tru21" localSheetId="33" hidden="1">{"'Sheet1'!$L$16"}</definedName>
    <definedName name="_Tru21" hidden="1">{"'Sheet1'!$L$16"}</definedName>
    <definedName name="_tt3" localSheetId="21" hidden="1">{"'Sheet1'!$L$16"}</definedName>
    <definedName name="_tt3" localSheetId="24" hidden="1">{"'Sheet1'!$L$16"}</definedName>
    <definedName name="_tt3" localSheetId="33" hidden="1">{"'Sheet1'!$L$16"}</definedName>
    <definedName name="_tt3" hidden="1">{"'Sheet1'!$L$16"}</definedName>
    <definedName name="_TT31" localSheetId="21" hidden="1">{"'Sheet1'!$L$16"}</definedName>
    <definedName name="_TT31" localSheetId="24" hidden="1">{"'Sheet1'!$L$16"}</definedName>
    <definedName name="_TT31" localSheetId="33" hidden="1">{"'Sheet1'!$L$16"}</definedName>
    <definedName name="_TT31" hidden="1">{"'Sheet1'!$L$16"}</definedName>
    <definedName name="_vl2" localSheetId="21" hidden="1">{"'Sheet1'!$L$16"}</definedName>
    <definedName name="_vl2" localSheetId="24" hidden="1">{"'Sheet1'!$L$16"}</definedName>
    <definedName name="_vl2" localSheetId="33" hidden="1">{"'Sheet1'!$L$16"}</definedName>
    <definedName name="_vl2" hidden="1">{"'Sheet1'!$L$16"}</definedName>
    <definedName name="_VM2" localSheetId="21" hidden="1">{"'Sheet1'!$L$16"}</definedName>
    <definedName name="_VM2" localSheetId="24" hidden="1">{"'Sheet1'!$L$16"}</definedName>
    <definedName name="_VM2" localSheetId="33" hidden="1">{"'Sheet1'!$L$16"}</definedName>
    <definedName name="_VM2" hidden="1">{"'Sheet1'!$L$16"}</definedName>
    <definedName name="a">#REF!</definedName>
    <definedName name="â" localSheetId="21" hidden="1">{"'Sheet1'!$L$16"}</definedName>
    <definedName name="â" localSheetId="24" hidden="1">{"'Sheet1'!$L$16"}</definedName>
    <definedName name="â" localSheetId="33" hidden="1">{"'Sheet1'!$L$16"}</definedName>
    <definedName name="â" hidden="1">{"'Sheet1'!$L$16"}</definedName>
    <definedName name="aa" localSheetId="21">#REF!</definedName>
    <definedName name="aa">#REF!</definedName>
    <definedName name="AccessDatabase" hidden="1">"C:\My Documents\LeBinh\Xls\VP Cong ty\FORM.mdb"</definedName>
    <definedName name="ADADADD" localSheetId="21" hidden="1">{"'Sheet1'!$L$16"}</definedName>
    <definedName name="ADADADD" localSheetId="24" hidden="1">{"'Sheet1'!$L$16"}</definedName>
    <definedName name="ADADADD" localSheetId="33" hidden="1">{"'Sheet1'!$L$16"}</definedName>
    <definedName name="ADADADD" hidden="1">{"'Sheet1'!$L$16"}</definedName>
    <definedName name="ADAY" localSheetId="21">#REF!</definedName>
    <definedName name="ADAY">#REF!</definedName>
    <definedName name="ADP" localSheetId="21">#REF!</definedName>
    <definedName name="ADP">#REF!</definedName>
    <definedName name="AKHAC" localSheetId="21">#REF!</definedName>
    <definedName name="AKHAC">#REF!</definedName>
    <definedName name="ALTINH" localSheetId="21">#REF!</definedName>
    <definedName name="ALTINH">#REF!</definedName>
    <definedName name="Anguon" localSheetId="21">#REF!</definedName>
    <definedName name="Anguon">#REF!</definedName>
    <definedName name="ANN" localSheetId="21">#REF!</definedName>
    <definedName name="ANN">#REF!</definedName>
    <definedName name="ANQD" localSheetId="21">#REF!</definedName>
    <definedName name="ANQD">#REF!</definedName>
    <definedName name="ANQQH" localSheetId="21">#REF!</definedName>
    <definedName name="ANQQH">#REF!</definedName>
    <definedName name="anscount" hidden="1">6</definedName>
    <definedName name="ANSNN" localSheetId="21">#REF!</definedName>
    <definedName name="ANSNN">#REF!</definedName>
    <definedName name="ANSNNxnk" localSheetId="21">#REF!</definedName>
    <definedName name="ANSNNxnk">#REF!</definedName>
    <definedName name="APC" localSheetId="21">#REF!</definedName>
    <definedName name="APC">#REF!</definedName>
    <definedName name="ATGT" localSheetId="21" hidden="1">{"'Sheet1'!$L$16"}</definedName>
    <definedName name="ATGT" localSheetId="24" hidden="1">{"'Sheet1'!$L$16"}</definedName>
    <definedName name="ATGT" localSheetId="33" hidden="1">{"'Sheet1'!$L$16"}</definedName>
    <definedName name="ATGT" hidden="1">{"'Sheet1'!$L$16"}</definedName>
    <definedName name="ATRAM" localSheetId="21">#REF!</definedName>
    <definedName name="ATRAM">#REF!</definedName>
    <definedName name="ATW" localSheetId="21">#REF!</definedName>
    <definedName name="ATW">#REF!</definedName>
    <definedName name="b" localSheetId="21" hidden="1">{"'Sheet1'!$L$16"}</definedName>
    <definedName name="b" localSheetId="24" hidden="1">{"'Sheet1'!$L$16"}</definedName>
    <definedName name="b" localSheetId="33" hidden="1">{"'Sheet1'!$L$16"}</definedName>
    <definedName name="b" hidden="1">{"'Sheet1'!$L$16"}</definedName>
    <definedName name="bb" localSheetId="21">{"Thuxm2.xls","Sheet1"}</definedName>
    <definedName name="bb" localSheetId="24">{"Thuxm2.xls","Sheet1"}</definedName>
    <definedName name="bb" localSheetId="33">{"Thuxm2.xls","Sheet1"}</definedName>
    <definedName name="bb">{"Thuxm2.xls","Sheet1"}</definedName>
    <definedName name="BCBo" localSheetId="21" hidden="1">{"'Sheet1'!$L$16"}</definedName>
    <definedName name="BCBo" localSheetId="24" hidden="1">{"'Sheet1'!$L$16"}</definedName>
    <definedName name="BCBo" localSheetId="33" hidden="1">{"'Sheet1'!$L$16"}</definedName>
    <definedName name="BCBo" hidden="1">{"'Sheet1'!$L$16"}</definedName>
    <definedName name="BDAY" localSheetId="21">#REF!</definedName>
    <definedName name="BDAY">#REF!</definedName>
    <definedName name="BOQ" localSheetId="21">#REF!</definedName>
    <definedName name="BOQ">#REF!</definedName>
    <definedName name="btnm3" localSheetId="21" hidden="1">{"'Sheet1'!$L$16"}</definedName>
    <definedName name="btnm3" localSheetId="24" hidden="1">{"'Sheet1'!$L$16"}</definedName>
    <definedName name="btnm3" localSheetId="33" hidden="1">{"'Sheet1'!$L$16"}</definedName>
    <definedName name="btnm3" hidden="1">{"'Sheet1'!$L$16"}</definedName>
    <definedName name="BTRAM" localSheetId="21">#REF!</definedName>
    <definedName name="BTRAM">#REF!</definedName>
    <definedName name="BVCISUMMARY" localSheetId="21">#REF!</definedName>
    <definedName name="BVCISUMMARY">#REF!</definedName>
    <definedName name="Can_doi" localSheetId="21">#REF!</definedName>
    <definedName name="Can_doi">#REF!</definedName>
    <definedName name="cap" localSheetId="21">#REF!</definedName>
    <definedName name="cap">#REF!</definedName>
    <definedName name="cap0.7" localSheetId="21">#REF!</definedName>
    <definedName name="cap0.7">#REF!</definedName>
    <definedName name="CDAY" localSheetId="21">#REF!</definedName>
    <definedName name="CDAY">#REF!</definedName>
    <definedName name="chitietbgiang2" localSheetId="21" hidden="1">{"'Sheet1'!$L$16"}</definedName>
    <definedName name="chitietbgiang2" localSheetId="24" hidden="1">{"'Sheet1'!$L$16"}</definedName>
    <definedName name="chitietbgiang2" localSheetId="33" hidden="1">{"'Sheet1'!$L$16"}</definedName>
    <definedName name="chitietbgiang2" hidden="1">{"'Sheet1'!$L$16"}</definedName>
    <definedName name="CL" localSheetId="21">#REF!</definedName>
    <definedName name="CL">#REF!</definedName>
    <definedName name="Coc_60" localSheetId="21" hidden="1">{"'Sheet1'!$L$16"}</definedName>
    <definedName name="Coc_60" localSheetId="24" hidden="1">{"'Sheet1'!$L$16"}</definedName>
    <definedName name="Coc_60" localSheetId="33" hidden="1">{"'Sheet1'!$L$16"}</definedName>
    <definedName name="Coc_60" hidden="1">{"'Sheet1'!$L$16"}</definedName>
    <definedName name="Code" localSheetId="21" hidden="1">#REF!</definedName>
    <definedName name="Code" hidden="1">#REF!</definedName>
    <definedName name="COMMON" localSheetId="21">#REF!</definedName>
    <definedName name="COMMON">#REF!</definedName>
    <definedName name="CON_EQP_COS" localSheetId="21">#REF!</definedName>
    <definedName name="CON_EQP_COS">#REF!</definedName>
    <definedName name="CongVattu" localSheetId="21">#REF!</definedName>
    <definedName name="CongVattu">#REF!</definedName>
    <definedName name="COVER" localSheetId="21">#REF!</definedName>
    <definedName name="COVER">#REF!</definedName>
    <definedName name="CRITINST" localSheetId="21">#REF!</definedName>
    <definedName name="CRITINST">#REF!</definedName>
    <definedName name="CRITPURC" localSheetId="21">#REF!</definedName>
    <definedName name="CRITPURC">#REF!</definedName>
    <definedName name="CS_10" localSheetId="21">#REF!</definedName>
    <definedName name="CS_10">#REF!</definedName>
    <definedName name="CS_100" localSheetId="21">#REF!</definedName>
    <definedName name="CS_100">#REF!</definedName>
    <definedName name="CS_10S" localSheetId="21">#REF!</definedName>
    <definedName name="CS_10S">#REF!</definedName>
    <definedName name="CS_120" localSheetId="21">#REF!</definedName>
    <definedName name="CS_120">#REF!</definedName>
    <definedName name="CS_140" localSheetId="21">#REF!</definedName>
    <definedName name="CS_140">#REF!</definedName>
    <definedName name="CS_160" localSheetId="21">#REF!</definedName>
    <definedName name="CS_160">#REF!</definedName>
    <definedName name="CS_20" localSheetId="21">#REF!</definedName>
    <definedName name="CS_20">#REF!</definedName>
    <definedName name="CS_30" localSheetId="21">#REF!</definedName>
    <definedName name="CS_30">#REF!</definedName>
    <definedName name="CS_40" localSheetId="21">#REF!</definedName>
    <definedName name="CS_40">#REF!</definedName>
    <definedName name="CS_40S" localSheetId="21">#REF!</definedName>
    <definedName name="CS_40S">#REF!</definedName>
    <definedName name="CS_5S" localSheetId="21">#REF!</definedName>
    <definedName name="CS_5S">#REF!</definedName>
    <definedName name="CS_60" localSheetId="21">#REF!</definedName>
    <definedName name="CS_60">#REF!</definedName>
    <definedName name="CS_80" localSheetId="21">#REF!</definedName>
    <definedName name="CS_80">#REF!</definedName>
    <definedName name="CS_80S" localSheetId="21">#REF!</definedName>
    <definedName name="CS_80S">#REF!</definedName>
    <definedName name="CS_STD" localSheetId="21">#REF!</definedName>
    <definedName name="CS_STD">#REF!</definedName>
    <definedName name="CS_XS" localSheetId="21">#REF!</definedName>
    <definedName name="CS_XS">#REF!</definedName>
    <definedName name="CS_XXS" localSheetId="21">#REF!</definedName>
    <definedName name="CS_XXS">#REF!</definedName>
    <definedName name="CTCT1" localSheetId="21" hidden="1">{"'Sheet1'!$L$16"}</definedName>
    <definedName name="CTCT1" localSheetId="24" hidden="1">{"'Sheet1'!$L$16"}</definedName>
    <definedName name="CTCT1" localSheetId="33" hidden="1">{"'Sheet1'!$L$16"}</definedName>
    <definedName name="CTCT1" hidden="1">{"'Sheet1'!$L$16"}</definedName>
    <definedName name="ctdn9697" localSheetId="21">#REF!</definedName>
    <definedName name="ctdn9697">#REF!</definedName>
    <definedName name="CTRAM" localSheetId="21">#REF!</definedName>
    <definedName name="CTRAM">#REF!</definedName>
    <definedName name="d" localSheetId="21" hidden="1">{"'Sheet1'!$L$16"}</definedName>
    <definedName name="d" localSheetId="24" hidden="1">{"'Sheet1'!$L$16"}</definedName>
    <definedName name="d" localSheetId="33" hidden="1">{"'Sheet1'!$L$16"}</definedName>
    <definedName name="d" hidden="1">{"'Sheet1'!$L$16"}</definedName>
    <definedName name="DATA_DATA2_List" localSheetId="21">#REF!</definedName>
    <definedName name="DATA_DATA2_List">#REF!</definedName>
    <definedName name="data1" localSheetId="21" hidden="1">#REF!</definedName>
    <definedName name="data1" hidden="1">#REF!</definedName>
    <definedName name="data2" localSheetId="21" hidden="1">#REF!</definedName>
    <definedName name="data2" hidden="1">#REF!</definedName>
    <definedName name="data3" localSheetId="21" hidden="1">#REF!</definedName>
    <definedName name="data3" hidden="1">#REF!</definedName>
    <definedName name="_xlnm.Database" localSheetId="21">#REF!</definedName>
    <definedName name="_xlnm.Database">#REF!</definedName>
    <definedName name="DATDAO" localSheetId="21">#REF!</definedName>
    <definedName name="DATDAO">#REF!</definedName>
    <definedName name="DDAY" localSheetId="21">#REF!</definedName>
    <definedName name="DDAY">#REF!</definedName>
    <definedName name="DenDK" localSheetId="21" hidden="1">{"'Sheet1'!$L$16"}</definedName>
    <definedName name="DenDK" localSheetId="24" hidden="1">{"'Sheet1'!$L$16"}</definedName>
    <definedName name="DenDK" localSheetId="33" hidden="1">{"'Sheet1'!$L$16"}</definedName>
    <definedName name="DenDK" hidden="1">{"'Sheet1'!$L$16"}</definedName>
    <definedName name="dfg" localSheetId="21" hidden="1">{"'Sheet1'!$L$16"}</definedName>
    <definedName name="dfg" localSheetId="24" hidden="1">{"'Sheet1'!$L$16"}</definedName>
    <definedName name="dfg" localSheetId="33" hidden="1">{"'Sheet1'!$L$16"}</definedName>
    <definedName name="dfg" hidden="1">{"'Sheet1'!$L$16"}</definedName>
    <definedName name="dgctp2" localSheetId="21" hidden="1">{"'Sheet1'!$L$16"}</definedName>
    <definedName name="dgctp2" localSheetId="24" hidden="1">{"'Sheet1'!$L$16"}</definedName>
    <definedName name="dgctp2" localSheetId="33" hidden="1">{"'Sheet1'!$L$16"}</definedName>
    <definedName name="dgctp2" hidden="1">{"'Sheet1'!$L$16"}</definedName>
    <definedName name="Discount" localSheetId="21" hidden="1">#REF!</definedName>
    <definedName name="Discount" hidden="1">#REF!</definedName>
    <definedName name="display_area_2" localSheetId="21" hidden="1">#REF!</definedName>
    <definedName name="display_area_2" hidden="1">#REF!</definedName>
    <definedName name="DM" localSheetId="21">#REF!</definedName>
    <definedName name="DM">#REF!</definedName>
    <definedName name="DNNN" localSheetId="21">#REF!</definedName>
    <definedName name="DNNN">#REF!</definedName>
    <definedName name="dobt" localSheetId="21">#REF!</definedName>
    <definedName name="dobt">#REF!</definedName>
    <definedName name="dongia" localSheetId="21">#REF!</definedName>
    <definedName name="dongia">#REF!</definedName>
    <definedName name="dsh" localSheetId="21" hidden="1">#REF!</definedName>
    <definedName name="dsh" hidden="1">#REF!</definedName>
    <definedName name="DSTD_Clear" localSheetId="21">#N/A</definedName>
    <definedName name="DSTD_Clear">#N/A</definedName>
    <definedName name="DSUMDATA" localSheetId="21">#REF!</definedName>
    <definedName name="DSUMDATA">#REF!</definedName>
    <definedName name="duaån" localSheetId="21">#REF!</definedName>
    <definedName name="duaån">#REF!</definedName>
    <definedName name="duan" localSheetId="21">#REF!</definedName>
    <definedName name="duan">#REF!</definedName>
    <definedName name="DUCANH" localSheetId="21" hidden="1">{"'Sheet1'!$L$16"}</definedName>
    <definedName name="DUCANH" localSheetId="24" hidden="1">{"'Sheet1'!$L$16"}</definedName>
    <definedName name="DUCANH" localSheetId="33" hidden="1">{"'Sheet1'!$L$16"}</definedName>
    <definedName name="DUCANH" hidden="1">{"'Sheet1'!$L$16"}</definedName>
    <definedName name="E" localSheetId="21" hidden="1">{#N/A,#N/A,FALSE,"BN (2)"}</definedName>
    <definedName name="E" localSheetId="24" hidden="1">{#N/A,#N/A,FALSE,"BN (2)"}</definedName>
    <definedName name="E" localSheetId="33" hidden="1">{#N/A,#N/A,FALSE,"BN (2)"}</definedName>
    <definedName name="E" hidden="1">{#N/A,#N/A,FALSE,"BN (2)"}</definedName>
    <definedName name="End_1" localSheetId="21">#REF!</definedName>
    <definedName name="End_1">#REF!</definedName>
    <definedName name="End_10" localSheetId="21">#REF!</definedName>
    <definedName name="End_10">#REF!</definedName>
    <definedName name="End_11" localSheetId="21">#REF!</definedName>
    <definedName name="End_11">#REF!</definedName>
    <definedName name="End_12" localSheetId="21">#REF!</definedName>
    <definedName name="End_12">#REF!</definedName>
    <definedName name="End_13" localSheetId="21">#REF!</definedName>
    <definedName name="End_13">#REF!</definedName>
    <definedName name="End_2" localSheetId="21">#REF!</definedName>
    <definedName name="End_2">#REF!</definedName>
    <definedName name="End_3" localSheetId="21">#REF!</definedName>
    <definedName name="End_3">#REF!</definedName>
    <definedName name="End_4" localSheetId="21">#REF!</definedName>
    <definedName name="End_4">#REF!</definedName>
    <definedName name="End_5" localSheetId="21">#REF!</definedName>
    <definedName name="End_5">#REF!</definedName>
    <definedName name="End_6" localSheetId="21">#REF!</definedName>
    <definedName name="End_6">#REF!</definedName>
    <definedName name="End_7" localSheetId="21">#REF!</definedName>
    <definedName name="End_7">#REF!</definedName>
    <definedName name="End_8" localSheetId="21">#REF!</definedName>
    <definedName name="End_8">#REF!</definedName>
    <definedName name="End_9" localSheetId="21">#REF!</definedName>
    <definedName name="End_9">#REF!</definedName>
    <definedName name="_xlnm.Extract" localSheetId="21">#REF!</definedName>
    <definedName name="_xlnm.Extract">#REF!</definedName>
    <definedName name="f" localSheetId="21" hidden="1">{"'Sheet1'!$L$16"}</definedName>
    <definedName name="f" localSheetId="24" hidden="1">{"'Sheet1'!$L$16"}</definedName>
    <definedName name="f" localSheetId="33" hidden="1">{"'Sheet1'!$L$16"}</definedName>
    <definedName name="f" hidden="1">{"'Sheet1'!$L$16"}</definedName>
    <definedName name="FCode" localSheetId="21" hidden="1">#REF!</definedName>
    <definedName name="FCode" hidden="1">#REF!</definedName>
    <definedName name="fsdfdsf" localSheetId="21" hidden="1">{"'Sheet1'!$L$16"}</definedName>
    <definedName name="fsdfdsf" localSheetId="24" hidden="1">{"'Sheet1'!$L$16"}</definedName>
    <definedName name="fsdfdsf" localSheetId="33" hidden="1">{"'Sheet1'!$L$16"}</definedName>
    <definedName name="fsdfdsf" hidden="1">{"'Sheet1'!$L$16"}</definedName>
    <definedName name="g" localSheetId="21" hidden="1">{"'Sheet1'!$L$16"}</definedName>
    <definedName name="g" localSheetId="24" hidden="1">{"'Sheet1'!$L$16"}</definedName>
    <definedName name="g" localSheetId="33" hidden="1">{"'Sheet1'!$L$16"}</definedName>
    <definedName name="g" hidden="1">{"'Sheet1'!$L$16"}</definedName>
    <definedName name="h" localSheetId="21" hidden="1">{"'Sheet1'!$L$16"}</definedName>
    <definedName name="h" localSheetId="24" hidden="1">{"'Sheet1'!$L$16"}</definedName>
    <definedName name="h" localSheetId="33" hidden="1">{"'Sheet1'!$L$16"}</definedName>
    <definedName name="h" hidden="1">{"'Sheet1'!$L$16"}</definedName>
    <definedName name="HANG" localSheetId="21" hidden="1">{#N/A,#N/A,FALSE,"Chi tiÆt"}</definedName>
    <definedName name="HANG" localSheetId="24" hidden="1">{#N/A,#N/A,FALSE,"Chi tiÆt"}</definedName>
    <definedName name="HANG" localSheetId="33" hidden="1">{#N/A,#N/A,FALSE,"Chi tiÆt"}</definedName>
    <definedName name="HANG" hidden="1">{#N/A,#N/A,FALSE,"Chi tiÆt"}</definedName>
    <definedName name="hhh" localSheetId="21" hidden="1">{"'Sheet1'!$L$16"}</definedName>
    <definedName name="hhh" localSheetId="24" hidden="1">{"'Sheet1'!$L$16"}</definedName>
    <definedName name="hhh" localSheetId="33" hidden="1">{"'Sheet1'!$L$16"}</definedName>
    <definedName name="hhh" hidden="1">{"'Sheet1'!$L$16"}</definedName>
    <definedName name="HHUHOI" localSheetId="21">#N/A</definedName>
    <definedName name="HHUHOI">#N/A</definedName>
    <definedName name="HiddenRows" localSheetId="21" hidden="1">#REF!</definedName>
    <definedName name="HiddenRows" hidden="1">#REF!</definedName>
    <definedName name="HIHIHIHOI" localSheetId="21" hidden="1">{"'Sheet1'!$L$16"}</definedName>
    <definedName name="HIHIHIHOI" localSheetId="24" hidden="1">{"'Sheet1'!$L$16"}</definedName>
    <definedName name="HIHIHIHOI" localSheetId="33" hidden="1">{"'Sheet1'!$L$16"}</definedName>
    <definedName name="HIHIHIHOI" hidden="1">{"'Sheet1'!$L$16"}</definedName>
    <definedName name="hj" localSheetId="21" hidden="1">{"'Sheet1'!$L$16"}</definedName>
    <definedName name="hj" localSheetId="24" hidden="1">{"'Sheet1'!$L$16"}</definedName>
    <definedName name="hj" localSheetId="33" hidden="1">{"'Sheet1'!$L$16"}</definedName>
    <definedName name="hj" hidden="1">{"'Sheet1'!$L$16"}</definedName>
    <definedName name="HJKL" localSheetId="21" hidden="1">{"'Sheet1'!$L$16"}</definedName>
    <definedName name="HJKL" localSheetId="24" hidden="1">{"'Sheet1'!$L$16"}</definedName>
    <definedName name="HJKL" localSheetId="33" hidden="1">{"'Sheet1'!$L$16"}</definedName>
    <definedName name="HJKL" hidden="1">{"'Sheet1'!$L$16"}</definedName>
    <definedName name="HOME_MANP" localSheetId="21">#REF!</definedName>
    <definedName name="HOME_MANP">#REF!</definedName>
    <definedName name="HOMEOFFICE_COST" localSheetId="21">#REF!</definedName>
    <definedName name="HOMEOFFICE_COST">#REF!</definedName>
    <definedName name="HT" localSheetId="21">#REF!</definedName>
    <definedName name="HT">#REF!</definedName>
    <definedName name="htlm" localSheetId="21" hidden="1">{"'Sheet1'!$L$16"}</definedName>
    <definedName name="htlm" localSheetId="24" hidden="1">{"'Sheet1'!$L$16"}</definedName>
    <definedName name="htlm" localSheetId="33" hidden="1">{"'Sheet1'!$L$16"}</definedName>
    <definedName name="htlm" hidden="1">{"'Sheet1'!$L$16"}</definedName>
    <definedName name="HTML_CodePage" hidden="1">950</definedName>
    <definedName name="HTML_Control" localSheetId="21" hidden="1">{"'Sheet1'!$L$16"}</definedName>
    <definedName name="HTML_Control" localSheetId="24" hidden="1">{"'Sheet1'!$L$16"}</definedName>
    <definedName name="HTML_Control" localSheetId="3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rhrt" localSheetId="21" hidden="1">{"'Sheet1'!$L$16"}</definedName>
    <definedName name="htrhrt" localSheetId="24" hidden="1">{"'Sheet1'!$L$16"}</definedName>
    <definedName name="htrhrt" localSheetId="33" hidden="1">{"'Sheet1'!$L$16"}</definedName>
    <definedName name="htrhrt" hidden="1">{"'Sheet1'!$L$16"}</definedName>
    <definedName name="hu" localSheetId="21" hidden="1">{"'Sheet1'!$L$16"}</definedName>
    <definedName name="hu" localSheetId="24" hidden="1">{"'Sheet1'!$L$16"}</definedName>
    <definedName name="hu" localSheetId="33" hidden="1">{"'Sheet1'!$L$16"}</definedName>
    <definedName name="hu" hidden="1">{"'Sheet1'!$L$16"}</definedName>
    <definedName name="huy" localSheetId="21" hidden="1">{"'Sheet1'!$L$16"}</definedName>
    <definedName name="huy" localSheetId="24" hidden="1">{"'Sheet1'!$L$16"}</definedName>
    <definedName name="huy" localSheetId="33" hidden="1">{"'Sheet1'!$L$16"}</definedName>
    <definedName name="huy" hidden="1">{"'Sheet1'!$L$16"}</definedName>
    <definedName name="IDLAB_COST" localSheetId="21">#REF!</definedName>
    <definedName name="IDLAB_COST">#REF!</definedName>
    <definedName name="INDMANP" localSheetId="21">#REF!</definedName>
    <definedName name="INDMANP">#REF!</definedName>
    <definedName name="K" localSheetId="21">#REF!</definedName>
    <definedName name="K">#REF!</definedName>
    <definedName name="Khac" localSheetId="21">#REF!</definedName>
    <definedName name="Khac">#REF!</definedName>
    <definedName name="KHANHKHUNG" localSheetId="21" hidden="1">{"'Sheet1'!$L$16"}</definedName>
    <definedName name="KHANHKHUNG" localSheetId="24" hidden="1">{"'Sheet1'!$L$16"}</definedName>
    <definedName name="KHANHKHUNG" localSheetId="33" hidden="1">{"'Sheet1'!$L$16"}</definedName>
    <definedName name="KHANHKHUNG" hidden="1">{"'Sheet1'!$L$16"}</definedName>
    <definedName name="khla09" localSheetId="21" hidden="1">{"'Sheet1'!$L$16"}</definedName>
    <definedName name="khla09" localSheetId="24" hidden="1">{"'Sheet1'!$L$16"}</definedName>
    <definedName name="khla09" localSheetId="33" hidden="1">{"'Sheet1'!$L$16"}</definedName>
    <definedName name="khla09" hidden="1">{"'Sheet1'!$L$16"}</definedName>
    <definedName name="Khong_can_doi" localSheetId="21">#REF!</definedName>
    <definedName name="Khong_can_doi">#REF!</definedName>
    <definedName name="khongtruotgia" localSheetId="21" hidden="1">{"'Sheet1'!$L$16"}</definedName>
    <definedName name="khongtruotgia" localSheetId="24" hidden="1">{"'Sheet1'!$L$16"}</definedName>
    <definedName name="khongtruotgia" localSheetId="33" hidden="1">{"'Sheet1'!$L$16"}</definedName>
    <definedName name="khongtruotgia" hidden="1">{"'Sheet1'!$L$16"}</definedName>
    <definedName name="khvh09" localSheetId="21" hidden="1">{"'Sheet1'!$L$16"}</definedName>
    <definedName name="khvh09" localSheetId="24" hidden="1">{"'Sheet1'!$L$16"}</definedName>
    <definedName name="khvh09" localSheetId="33" hidden="1">{"'Sheet1'!$L$16"}</definedName>
    <definedName name="khvh09" hidden="1">{"'Sheet1'!$L$16"}</definedName>
    <definedName name="KHYt09" localSheetId="21" hidden="1">{"'Sheet1'!$L$16"}</definedName>
    <definedName name="KHYt09" localSheetId="24" hidden="1">{"'Sheet1'!$L$16"}</definedName>
    <definedName name="KHYt09" localSheetId="33" hidden="1">{"'Sheet1'!$L$16"}</definedName>
    <definedName name="KHYt09" hidden="1">{"'Sheet1'!$L$16"}</definedName>
    <definedName name="KLduonggiaods" localSheetId="21" hidden="1">{"'Sheet1'!$L$16"}</definedName>
    <definedName name="KLduonggiaods" localSheetId="24" hidden="1">{"'Sheet1'!$L$16"}</definedName>
    <definedName name="KLduonggiaods" localSheetId="33" hidden="1">{"'Sheet1'!$L$16"}</definedName>
    <definedName name="KLduonggiaods" hidden="1">{"'Sheet1'!$L$16"}</definedName>
    <definedName name="komtun" localSheetId="21" hidden="1">{"'Sheet1'!$L$16"}</definedName>
    <definedName name="komtun" localSheetId="24" hidden="1">{"'Sheet1'!$L$16"}</definedName>
    <definedName name="komtun" localSheetId="33" hidden="1">{"'Sheet1'!$L$16"}</definedName>
    <definedName name="komtun" hidden="1">{"'Sheet1'!$L$16"}</definedName>
    <definedName name="kontum" localSheetId="21" hidden="1">{#N/A,#N/A,TRUE,"BT M200 da 10x20"}</definedName>
    <definedName name="kontum" localSheetId="24" hidden="1">{#N/A,#N/A,TRUE,"BT M200 da 10x20"}</definedName>
    <definedName name="kontum" localSheetId="33" hidden="1">{#N/A,#N/A,TRUE,"BT M200 da 10x20"}</definedName>
    <definedName name="kontum" hidden="1">{#N/A,#N/A,TRUE,"BT M200 da 10x20"}</definedName>
    <definedName name="KQ_Truong" localSheetId="21">#REF!</definedName>
    <definedName name="KQ_Truong">#REF!</definedName>
    <definedName name="ksbn" localSheetId="21" hidden="1">{"'Sheet1'!$L$16"}</definedName>
    <definedName name="ksbn" localSheetId="24" hidden="1">{"'Sheet1'!$L$16"}</definedName>
    <definedName name="ksbn" localSheetId="33" hidden="1">{"'Sheet1'!$L$16"}</definedName>
    <definedName name="ksbn" hidden="1">{"'Sheet1'!$L$16"}</definedName>
    <definedName name="kshn" localSheetId="21" hidden="1">{"'Sheet1'!$L$16"}</definedName>
    <definedName name="kshn" localSheetId="24" hidden="1">{"'Sheet1'!$L$16"}</definedName>
    <definedName name="kshn" localSheetId="33" hidden="1">{"'Sheet1'!$L$16"}</definedName>
    <definedName name="kshn" hidden="1">{"'Sheet1'!$L$16"}</definedName>
    <definedName name="ksls" localSheetId="21" hidden="1">{"'Sheet1'!$L$16"}</definedName>
    <definedName name="ksls" localSheetId="24" hidden="1">{"'Sheet1'!$L$16"}</definedName>
    <definedName name="ksls" localSheetId="33" hidden="1">{"'Sheet1'!$L$16"}</definedName>
    <definedName name="ksls" hidden="1">{"'Sheet1'!$L$16"}</definedName>
    <definedName name="KVC" localSheetId="21">#REF!</definedName>
    <definedName name="KVC">#REF!</definedName>
    <definedName name="L" localSheetId="21">#REF!</definedName>
    <definedName name="L">#REF!</definedName>
    <definedName name="lan" localSheetId="21" hidden="1">{#N/A,#N/A,TRUE,"BT M200 da 10x20"}</definedName>
    <definedName name="lan" localSheetId="24" hidden="1">{#N/A,#N/A,TRUE,"BT M200 da 10x20"}</definedName>
    <definedName name="lan" localSheetId="33" hidden="1">{#N/A,#N/A,TRUE,"BT M200 da 10x20"}</definedName>
    <definedName name="lan" hidden="1">{#N/A,#N/A,TRUE,"BT M200 da 10x20"}</definedName>
    <definedName name="langson" localSheetId="21" hidden="1">{"'Sheet1'!$L$16"}</definedName>
    <definedName name="langson" localSheetId="24" hidden="1">{"'Sheet1'!$L$16"}</definedName>
    <definedName name="langson" localSheetId="33" hidden="1">{"'Sheet1'!$L$16"}</definedName>
    <definedName name="langson" hidden="1">{"'Sheet1'!$L$16"}</definedName>
    <definedName name="lVC" localSheetId="21">#REF!</definedName>
    <definedName name="lVC">#REF!</definedName>
    <definedName name="m" localSheetId="21">#REF!</definedName>
    <definedName name="m">#REF!</definedName>
    <definedName name="MAJ_CON_EQP" localSheetId="21">#REF!</definedName>
    <definedName name="MAJ_CON_EQP">#REF!</definedName>
    <definedName name="MG_A" localSheetId="21">#REF!</definedName>
    <definedName name="MG_A">#REF!</definedName>
    <definedName name="mo" localSheetId="21" hidden="1">{"'Sheet1'!$L$16"}</definedName>
    <definedName name="mo" localSheetId="24" hidden="1">{"'Sheet1'!$L$16"}</definedName>
    <definedName name="mo" localSheetId="33" hidden="1">{"'Sheet1'!$L$16"}</definedName>
    <definedName name="mo" hidden="1">{"'Sheet1'!$L$16"}</definedName>
    <definedName name="NCcap0.7" localSheetId="21">#REF!</definedName>
    <definedName name="NCcap0.7">#REF!</definedName>
    <definedName name="NCcap1" localSheetId="21">#REF!</definedName>
    <definedName name="NCcap1">#REF!</definedName>
    <definedName name="NET" localSheetId="21">#REF!</definedName>
    <definedName name="NET">#REF!</definedName>
    <definedName name="NET_1" localSheetId="21">#REF!</definedName>
    <definedName name="NET_1">#REF!</definedName>
    <definedName name="NET_ANA" localSheetId="21">#REF!</definedName>
    <definedName name="NET_ANA">#REF!</definedName>
    <definedName name="NET_ANA_1" localSheetId="21">#REF!</definedName>
    <definedName name="NET_ANA_1">#REF!</definedName>
    <definedName name="NET_ANA_2" localSheetId="21">#REF!</definedName>
    <definedName name="NET_ANA_2">#REF!</definedName>
    <definedName name="Ngay" localSheetId="21">#REF!</definedName>
    <definedName name="Ngay">#REF!</definedName>
    <definedName name="NHAÂN_COÂNG" localSheetId="21">'PL33'!BTRAM</definedName>
    <definedName name="NHAÂN_COÂNG" localSheetId="24">BTRAM</definedName>
    <definedName name="NHAÂN_COÂNG" localSheetId="33">BTRAM</definedName>
    <definedName name="NHAÂN_COÂNG">BTRAM</definedName>
    <definedName name="NHANH2_CG4" localSheetId="21" hidden="1">{"'Sheet1'!$L$16"}</definedName>
    <definedName name="NHANH2_CG4" localSheetId="24" hidden="1">{"'Sheet1'!$L$16"}</definedName>
    <definedName name="NHANH2_CG4" localSheetId="33" hidden="1">{"'Sheet1'!$L$16"}</definedName>
    <definedName name="NHANH2_CG4" hidden="1">{"'Sheet1'!$L$16"}</definedName>
    <definedName name="NQD" localSheetId="21">#REF!</definedName>
    <definedName name="NQD">#REF!</definedName>
    <definedName name="NQQH" localSheetId="21">#REF!</definedName>
    <definedName name="NQQH">#REF!</definedName>
    <definedName name="NSNN" localSheetId="21">#REF!</definedName>
    <definedName name="NSNN">#REF!</definedName>
    <definedName name="OrderTable" localSheetId="21" hidden="1">#REF!</definedName>
    <definedName name="OrderTable" hidden="1">#REF!</definedName>
    <definedName name="PAIII_" localSheetId="21" hidden="1">{"'Sheet1'!$L$16"}</definedName>
    <definedName name="PAIII_" localSheetId="24" hidden="1">{"'Sheet1'!$L$16"}</definedName>
    <definedName name="PAIII_" localSheetId="33" hidden="1">{"'Sheet1'!$L$16"}</definedName>
    <definedName name="PAIII_" hidden="1">{"'Sheet1'!$L$16"}</definedName>
    <definedName name="PC" localSheetId="21">#REF!</definedName>
    <definedName name="PC">#REF!</definedName>
    <definedName name="Phan_cap" localSheetId="21">#REF!</definedName>
    <definedName name="Phan_cap">#REF!</definedName>
    <definedName name="Phi_le_phi" localSheetId="21">#REF!</definedName>
    <definedName name="Phi_le_phi">#REF!</definedName>
    <definedName name="PMS" localSheetId="21" hidden="1">{"'Sheet1'!$L$16"}</definedName>
    <definedName name="PMS" localSheetId="24" hidden="1">{"'Sheet1'!$L$16"}</definedName>
    <definedName name="PMS" localSheetId="33" hidden="1">{"'Sheet1'!$L$16"}</definedName>
    <definedName name="PMS" hidden="1">{"'Sheet1'!$L$16"}</definedName>
    <definedName name="_xlnm.Print_Area" localSheetId="6">'PL 18_TCDT'!$A$1:$E$85</definedName>
    <definedName name="_xlnm.Print_Area" localSheetId="0">'PL12'!$A$1:$F$45</definedName>
    <definedName name="_xlnm.Print_Area" localSheetId="1">'PL13'!$A$1:$H$70</definedName>
    <definedName name="_xlnm.Print_Area" localSheetId="2">'PL14'!$A$1:$F$108</definedName>
    <definedName name="_xlnm.Print_Area" localSheetId="4">'PL16'!$A$1:$H$70</definedName>
    <definedName name="_xlnm.Print_Area" localSheetId="5">'PL17'!$A$1:$F$144</definedName>
    <definedName name="_xlnm.Print_Area" localSheetId="8">'PL20'!$A$1:$O$26</definedName>
    <definedName name="_xlnm.Print_Area" localSheetId="9">'PL21'!$A$1:$AE$32</definedName>
    <definedName name="_xlnm.Print_Area" localSheetId="10">'PL22'!$A$1:$K$109</definedName>
    <definedName name="_xlnm.Print_Area" localSheetId="11">'PL23'!$A$1:$F$64</definedName>
    <definedName name="_xlnm.Print_Area" localSheetId="12">'PL24'!$A$1:$Q$107</definedName>
    <definedName name="_xlnm.Print_Area" localSheetId="13">PL25_TCDT!$A$1:$R$52</definedName>
    <definedName name="_xlnm.Print_Area" localSheetId="14">'PL26'!$A$1:$U$89</definedName>
    <definedName name="_xlnm.Print_Area" localSheetId="21">'PL33'!$A$1:$G$138</definedName>
    <definedName name="_xlnm.Print_Area" localSheetId="33">PL46_TCDT!$A$1:$V$138</definedName>
    <definedName name="_xlnm.Print_Area">#REF!</definedName>
    <definedName name="PRINT_AREA_MI" localSheetId="21">#REF!</definedName>
    <definedName name="PRINT_AREA_MI">#REF!</definedName>
    <definedName name="_xlnm.Print_Titles" localSheetId="6">'PL 18_TCDT'!$7:$9</definedName>
    <definedName name="_xlnm.Print_Titles" localSheetId="0">'PL12'!$5:$8</definedName>
    <definedName name="_xlnm.Print_Titles" localSheetId="1">'PL13'!$5:$8</definedName>
    <definedName name="_xlnm.Print_Titles" localSheetId="2">'PL14'!$5:$8</definedName>
    <definedName name="_xlnm.Print_Titles" localSheetId="3">'PL15'!$5:$8</definedName>
    <definedName name="_xlnm.Print_Titles" localSheetId="4">'PL16'!$5:$8</definedName>
    <definedName name="_xlnm.Print_Titles" localSheetId="5">'PL17'!$5:$8</definedName>
    <definedName name="_xlnm.Print_Titles" localSheetId="9">'PL21'!$5:$15</definedName>
    <definedName name="_xlnm.Print_Titles" localSheetId="10">'PL22'!$5:$9</definedName>
    <definedName name="_xlnm.Print_Titles" localSheetId="11">'PL23'!$5:$7</definedName>
    <definedName name="_xlnm.Print_Titles" localSheetId="12">'PL24'!$5:$9</definedName>
    <definedName name="_xlnm.Print_Titles" localSheetId="13">PL25_TCDT!$5:$9</definedName>
    <definedName name="_xlnm.Print_Titles" localSheetId="14">'PL26'!$5:$9</definedName>
    <definedName name="_xlnm.Print_Titles" localSheetId="15">'PL27'!$5:$15</definedName>
    <definedName name="_xlnm.Print_Titles" localSheetId="16">PL28_TCDN!$5:$9</definedName>
    <definedName name="_xlnm.Print_Titles" localSheetId="18">'PL30'!$5:$8</definedName>
    <definedName name="_xlnm.Print_Titles" localSheetId="21">'PL33'!$6:$11</definedName>
    <definedName name="_xlnm.Print_Titles" localSheetId="31">'PL44'!$A:$B</definedName>
    <definedName name="_xlnm.Print_Titles" localSheetId="33">PL46_TCDT!$5:$11</definedName>
    <definedName name="_xlnm.Print_Titles">#N/A</definedName>
    <definedName name="PRINT_TITLES_MI" localSheetId="21">#REF!</definedName>
    <definedName name="PRINT_TITLES_MI">#REF!</definedName>
    <definedName name="PRINTA" localSheetId="21">#REF!</definedName>
    <definedName name="PRINTA">#REF!</definedName>
    <definedName name="PRINTB" localSheetId="21">#REF!</definedName>
    <definedName name="PRINTB">#REF!</definedName>
    <definedName name="PRINTC" localSheetId="21">#REF!</definedName>
    <definedName name="PRINTC">#REF!</definedName>
    <definedName name="ProdForm" localSheetId="21" hidden="1">#REF!</definedName>
    <definedName name="ProdForm" hidden="1">#REF!</definedName>
    <definedName name="Product" localSheetId="21" hidden="1">#REF!</definedName>
    <definedName name="Product" hidden="1">#REF!</definedName>
    <definedName name="PROPOSAL" localSheetId="21">#REF!</definedName>
    <definedName name="PROPOSAL">#REF!</definedName>
    <definedName name="RCArea" localSheetId="21" hidden="1">#REF!</definedName>
    <definedName name="RCArea" hidden="1">#REF!</definedName>
    <definedName name="re" localSheetId="21" hidden="1">{"'Sheet1'!$L$16"}</definedName>
    <definedName name="re" localSheetId="24" hidden="1">{"'Sheet1'!$L$16"}</definedName>
    <definedName name="re" localSheetId="33" hidden="1">{"'Sheet1'!$L$16"}</definedName>
    <definedName name="re" hidden="1">{"'Sheet1'!$L$16"}</definedName>
    <definedName name="RGHGSD" localSheetId="21" hidden="1">{"'Sheet1'!$L$16"}</definedName>
    <definedName name="RGHGSD" localSheetId="24" hidden="1">{"'Sheet1'!$L$16"}</definedName>
    <definedName name="RGHGSD" localSheetId="33" hidden="1">{"'Sheet1'!$L$16"}</definedName>
    <definedName name="RGHGSD" hidden="1">{"'Sheet1'!$L$16"}</definedName>
    <definedName name="rr" localSheetId="21" hidden="1">{"'Sheet1'!$L$16"}</definedName>
    <definedName name="rr" localSheetId="24" hidden="1">{"'Sheet1'!$L$16"}</definedName>
    <definedName name="rr" localSheetId="33" hidden="1">{"'Sheet1'!$L$16"}</definedName>
    <definedName name="rr" hidden="1">{"'Sheet1'!$L$16"}</definedName>
    <definedName name="SCT" localSheetId="21">#REF!</definedName>
    <definedName name="SCT">#REF!</definedName>
    <definedName name="sdbv" localSheetId="21" hidden="1">{"'Sheet1'!$L$16"}</definedName>
    <definedName name="sdbv" localSheetId="24" hidden="1">{"'Sheet1'!$L$16"}</definedName>
    <definedName name="sdbv" localSheetId="33" hidden="1">{"'Sheet1'!$L$16"}</definedName>
    <definedName name="sdbv" hidden="1">{"'Sheet1'!$L$16"}</definedName>
    <definedName name="Sosanh2" localSheetId="21" hidden="1">{"'Sheet1'!$L$16"}</definedName>
    <definedName name="Sosanh2" localSheetId="24" hidden="1">{"'Sheet1'!$L$16"}</definedName>
    <definedName name="Sosanh2" localSheetId="33" hidden="1">{"'Sheet1'!$L$16"}</definedName>
    <definedName name="Sosanh2" hidden="1">{"'Sheet1'!$L$16"}</definedName>
    <definedName name="SPEC" localSheetId="21">#REF!</definedName>
    <definedName name="SPEC">#REF!</definedName>
    <definedName name="SpecialPrice" localSheetId="21" hidden="1">#REF!</definedName>
    <definedName name="SpecialPrice" hidden="1">#REF!</definedName>
    <definedName name="SPECSUMMARY" localSheetId="21">#REF!</definedName>
    <definedName name="SPECSUMMARY">#REF!</definedName>
    <definedName name="Start_1" localSheetId="21">#REF!</definedName>
    <definedName name="Start_1">#REF!</definedName>
    <definedName name="Start_10" localSheetId="21">#REF!</definedName>
    <definedName name="Start_10">#REF!</definedName>
    <definedName name="Start_11" localSheetId="21">#REF!</definedName>
    <definedName name="Start_11">#REF!</definedName>
    <definedName name="Start_12" localSheetId="21">#REF!</definedName>
    <definedName name="Start_12">#REF!</definedName>
    <definedName name="Start_13" localSheetId="21">#REF!</definedName>
    <definedName name="Start_13">#REF!</definedName>
    <definedName name="Start_2" localSheetId="21">#REF!</definedName>
    <definedName name="Start_2">#REF!</definedName>
    <definedName name="Start_3" localSheetId="21">#REF!</definedName>
    <definedName name="Start_3">#REF!</definedName>
    <definedName name="Start_4" localSheetId="21">#REF!</definedName>
    <definedName name="Start_4">#REF!</definedName>
    <definedName name="Start_5" localSheetId="21">#REF!</definedName>
    <definedName name="Start_5">#REF!</definedName>
    <definedName name="Start_6" localSheetId="21">#REF!</definedName>
    <definedName name="Start_6">#REF!</definedName>
    <definedName name="Start_7" localSheetId="21">#REF!</definedName>
    <definedName name="Start_7">#REF!</definedName>
    <definedName name="Start_8" localSheetId="21">#REF!</definedName>
    <definedName name="Start_8">#REF!</definedName>
    <definedName name="Start_9" localSheetId="21">#REF!</definedName>
    <definedName name="Start_9">#REF!</definedName>
    <definedName name="SUMMARY" localSheetId="21">#REF!</definedName>
    <definedName name="SUMMARY">#REF!</definedName>
    <definedName name="T.3" localSheetId="21" hidden="1">{"'Sheet1'!$L$16"}</definedName>
    <definedName name="T.3" localSheetId="24" hidden="1">{"'Sheet1'!$L$16"}</definedName>
    <definedName name="T.3" localSheetId="33" hidden="1">{"'Sheet1'!$L$16"}</definedName>
    <definedName name="T.3" hidden="1">{"'Sheet1'!$L$16"}</definedName>
    <definedName name="TBA" localSheetId="21">#REF!</definedName>
    <definedName name="TBA">#REF!</definedName>
    <definedName name="tbl_ProdInfo" localSheetId="21" hidden="1">#REF!</definedName>
    <definedName name="tbl_ProdInfo" hidden="1">#REF!</definedName>
    <definedName name="tha" localSheetId="21" hidden="1">{"'Sheet1'!$L$16"}</definedName>
    <definedName name="tha" localSheetId="24" hidden="1">{"'Sheet1'!$L$16"}</definedName>
    <definedName name="tha" localSheetId="33" hidden="1">{"'Sheet1'!$L$16"}</definedName>
    <definedName name="tha" hidden="1">{"'Sheet1'!$L$16"}</definedName>
    <definedName name="thanhtien" localSheetId="21">#REF!</definedName>
    <definedName name="thanhtien">#REF!</definedName>
    <definedName name="Tong_co" localSheetId="21">#REF!</definedName>
    <definedName name="Tong_co">#REF!</definedName>
    <definedName name="Tong_no" localSheetId="21">#REF!</definedName>
    <definedName name="Tong_no">#REF!</definedName>
    <definedName name="trong" localSheetId="21" hidden="1">{"'Sheet1'!$L$16"}</definedName>
    <definedName name="trong" localSheetId="24" hidden="1">{"'Sheet1'!$L$16"}</definedName>
    <definedName name="trong" localSheetId="33" hidden="1">{"'Sheet1'!$L$16"}</definedName>
    <definedName name="trong" hidden="1">{"'Sheet1'!$L$16"}</definedName>
    <definedName name="ttbt" localSheetId="21">#REF!</definedName>
    <definedName name="ttbt">#REF!</definedName>
    <definedName name="ttttt" localSheetId="21" hidden="1">{"'Sheet1'!$L$16"}</definedName>
    <definedName name="ttttt" localSheetId="24" hidden="1">{"'Sheet1'!$L$16"}</definedName>
    <definedName name="ttttt" localSheetId="33" hidden="1">{"'Sheet1'!$L$16"}</definedName>
    <definedName name="ttttt" hidden="1">{"'Sheet1'!$L$16"}</definedName>
    <definedName name="ttttttttttt" localSheetId="21" hidden="1">{"'Sheet1'!$L$16"}</definedName>
    <definedName name="ttttttttttt" localSheetId="24" hidden="1">{"'Sheet1'!$L$16"}</definedName>
    <definedName name="ttttttttttt" localSheetId="33" hidden="1">{"'Sheet1'!$L$16"}</definedName>
    <definedName name="ttttttttttt" hidden="1">{"'Sheet1'!$L$16"}</definedName>
    <definedName name="tuyennhanh" localSheetId="21" hidden="1">{"'Sheet1'!$L$16"}</definedName>
    <definedName name="tuyennhanh" localSheetId="24" hidden="1">{"'Sheet1'!$L$16"}</definedName>
    <definedName name="tuyennhanh" localSheetId="33" hidden="1">{"'Sheet1'!$L$16"}</definedName>
    <definedName name="tuyennhanh" hidden="1">{"'Sheet1'!$L$16"}</definedName>
    <definedName name="TW" localSheetId="21">#REF!</definedName>
    <definedName name="TW">#REF!</definedName>
    <definedName name="uu" localSheetId="21" hidden="1">{"'Sheet1'!$L$16"}</definedName>
    <definedName name="uu" localSheetId="24" hidden="1">{"'Sheet1'!$L$16"}</definedName>
    <definedName name="uu" localSheetId="33" hidden="1">{"'Sheet1'!$L$16"}</definedName>
    <definedName name="uu" hidden="1">{"'Sheet1'!$L$16"}</definedName>
    <definedName name="uu.54" localSheetId="21">#REF!</definedName>
    <definedName name="uu.54">#REF!</definedName>
    <definedName name="VAÄT_LIEÄU">"ATRAM"</definedName>
    <definedName name="vanchuyen" localSheetId="21">#REF!</definedName>
    <definedName name="vanchuyen">#REF!</definedName>
    <definedName name="VARIINST" localSheetId="21">#REF!</definedName>
    <definedName name="VARIINST">#REF!</definedName>
    <definedName name="VARIPURC" localSheetId="21">#REF!</definedName>
    <definedName name="VARIPURC">#REF!</definedName>
    <definedName name="vat_lieu_KVIII" localSheetId="21">#REF!</definedName>
    <definedName name="vat_lieu_KVIII">#REF!</definedName>
    <definedName name="VATM" localSheetId="21" hidden="1">{"'Sheet1'!$L$16"}</definedName>
    <definedName name="VATM" localSheetId="24" hidden="1">{"'Sheet1'!$L$16"}</definedName>
    <definedName name="VATM" localSheetId="33" hidden="1">{"'Sheet1'!$L$16"}</definedName>
    <definedName name="VATM" hidden="1">{"'Sheet1'!$L$16"}</definedName>
    <definedName name="Vattu" localSheetId="21">#REF!</definedName>
    <definedName name="Vattu">#REF!</definedName>
    <definedName name="VC" localSheetId="21">#REF!</definedName>
    <definedName name="VC">#REF!</definedName>
    <definedName name="vccot" localSheetId="21">#REF!</definedName>
    <definedName name="vccot">#REF!</definedName>
    <definedName name="vcoto" localSheetId="21" hidden="1">{"'Sheet1'!$L$16"}</definedName>
    <definedName name="vcoto" localSheetId="24" hidden="1">{"'Sheet1'!$L$16"}</definedName>
    <definedName name="vcoto" localSheetId="33" hidden="1">{"'Sheet1'!$L$16"}</definedName>
    <definedName name="vcoto" hidden="1">{"'Sheet1'!$L$16"}</definedName>
    <definedName name="vctb" localSheetId="21">#REF!</definedName>
    <definedName name="vctb">#REF!</definedName>
    <definedName name="VH" localSheetId="21" hidden="1">{"'Sheet1'!$L$16"}</definedName>
    <definedName name="VH" localSheetId="24" hidden="1">{"'Sheet1'!$L$16"}</definedName>
    <definedName name="VH" localSheetId="33" hidden="1">{"'Sheet1'!$L$16"}</definedName>
    <definedName name="VH" hidden="1">{"'Sheet1'!$L$16"}</definedName>
    <definedName name="Viet" localSheetId="21" hidden="1">{"'Sheet1'!$L$16"}</definedName>
    <definedName name="Viet" localSheetId="24" hidden="1">{"'Sheet1'!$L$16"}</definedName>
    <definedName name="Viet" localSheetId="33" hidden="1">{"'Sheet1'!$L$16"}</definedName>
    <definedName name="Viet" hidden="1">{"'Sheet1'!$L$16"}</definedName>
    <definedName name="Vlcap0.7" localSheetId="21">#REF!</definedName>
    <definedName name="Vlcap0.7">#REF!</definedName>
    <definedName name="VLcap1" localSheetId="21">#REF!</definedName>
    <definedName name="VLcap1">#REF!</definedName>
    <definedName name="vlct" localSheetId="21" hidden="1">{"'Sheet1'!$L$16"}</definedName>
    <definedName name="vlct" localSheetId="24" hidden="1">{"'Sheet1'!$L$16"}</definedName>
    <definedName name="vlct" localSheetId="33" hidden="1">{"'Sheet1'!$L$16"}</definedName>
    <definedName name="vlct" hidden="1">{"'Sheet1'!$L$16"}</definedName>
    <definedName name="Vua" localSheetId="21">#REF!</definedName>
    <definedName name="Vua">#REF!</definedName>
    <definedName name="W" localSheetId="21">#REF!</definedName>
    <definedName name="W">#REF!</definedName>
    <definedName name="wrn.Bang._.ke._.nhan._.hang." localSheetId="21" hidden="1">{#N/A,#N/A,FALSE,"Ke khai NH"}</definedName>
    <definedName name="wrn.Bang._.ke._.nhan._.hang." localSheetId="24" hidden="1">{#N/A,#N/A,FALSE,"Ke khai NH"}</definedName>
    <definedName name="wrn.Bang._.ke._.nhan._.hang." localSheetId="33" hidden="1">{#N/A,#N/A,FALSE,"Ke khai NH"}</definedName>
    <definedName name="wrn.Bang._.ke._.nhan._.hang." hidden="1">{#N/A,#N/A,FALSE,"Ke khai NH"}</definedName>
    <definedName name="wrn.Che._.do._.duoc._.huong." localSheetId="21" hidden="1">{#N/A,#N/A,FALSE,"BN (2)"}</definedName>
    <definedName name="wrn.Che._.do._.duoc._.huong." localSheetId="24" hidden="1">{#N/A,#N/A,FALSE,"BN (2)"}</definedName>
    <definedName name="wrn.Che._.do._.duoc._.huong." localSheetId="33" hidden="1">{#N/A,#N/A,FALSE,"BN (2)"}</definedName>
    <definedName name="wrn.Che._.do._.duoc._.huong." hidden="1">{#N/A,#N/A,FALSE,"BN (2)"}</definedName>
    <definedName name="wrn.chi._.tiÆt." localSheetId="21" hidden="1">{#N/A,#N/A,FALSE,"Chi tiÆt"}</definedName>
    <definedName name="wrn.chi._.tiÆt." localSheetId="24" hidden="1">{#N/A,#N/A,FALSE,"Chi tiÆt"}</definedName>
    <definedName name="wrn.chi._.tiÆt." localSheetId="33" hidden="1">{#N/A,#N/A,FALSE,"Chi tiÆt"}</definedName>
    <definedName name="wrn.chi._.tiÆt." hidden="1">{#N/A,#N/A,FALSE,"Chi tiÆt"}</definedName>
    <definedName name="wrn.Giáy._.bao._.no." localSheetId="21" hidden="1">{#N/A,#N/A,FALSE,"BN"}</definedName>
    <definedName name="wrn.Giáy._.bao._.no." localSheetId="24" hidden="1">{#N/A,#N/A,FALSE,"BN"}</definedName>
    <definedName name="wrn.Giáy._.bao._.no." localSheetId="33" hidden="1">{#N/A,#N/A,FALSE,"BN"}</definedName>
    <definedName name="wrn.Giáy._.bao._.no." hidden="1">{#N/A,#N/A,FALSE,"BN"}</definedName>
    <definedName name="wrn.vd." localSheetId="21" hidden="1">{#N/A,#N/A,TRUE,"BT M200 da 10x20"}</definedName>
    <definedName name="wrn.vd." localSheetId="24" hidden="1">{#N/A,#N/A,TRUE,"BT M200 da 10x20"}</definedName>
    <definedName name="wrn.vd." localSheetId="33" hidden="1">{#N/A,#N/A,TRUE,"BT M200 da 10x20"}</definedName>
    <definedName name="wrn.vd." hidden="1">{#N/A,#N/A,TRUE,"BT M200 da 10x20"}</definedName>
    <definedName name="X" localSheetId="21">#REF!</definedName>
    <definedName name="X">#REF!</definedName>
    <definedName name="xls" localSheetId="21" hidden="1">{"'Sheet1'!$L$16"}</definedName>
    <definedName name="xls" localSheetId="24" hidden="1">{"'Sheet1'!$L$16"}</definedName>
    <definedName name="xls" localSheetId="33" hidden="1">{"'Sheet1'!$L$16"}</definedName>
    <definedName name="xls" hidden="1">{"'Sheet1'!$L$16"}</definedName>
    <definedName name="xlttbninh" localSheetId="21" hidden="1">{"'Sheet1'!$L$16"}</definedName>
    <definedName name="xlttbninh" localSheetId="24" hidden="1">{"'Sheet1'!$L$16"}</definedName>
    <definedName name="xlttbninh" localSheetId="33" hidden="1">{"'Sheet1'!$L$16"}</definedName>
    <definedName name="xlttbninh" hidden="1">{"'Sheet1'!$L$16"}</definedName>
    <definedName name="xxx54" localSheetId="21">#REF!</definedName>
    <definedName name="xxx54">#REF!</definedName>
    <definedName name="ZYX" localSheetId="21">#REF!</definedName>
    <definedName name="ZYX">#REF!</definedName>
    <definedName name="ZZZ" localSheetId="21">#REF!</definedName>
    <definedName name="ZZZ">#REF!</definedName>
    <definedName name="zzz54" localSheetId="21">#REF!</definedName>
    <definedName name="zzz54">#REF!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34" l="1"/>
  <c r="E41" i="34"/>
  <c r="E40" i="34"/>
  <c r="E39" i="34"/>
  <c r="E38" i="34"/>
  <c r="D37" i="34"/>
  <c r="E37" i="34" s="1"/>
  <c r="C37" i="34"/>
  <c r="E36" i="34"/>
  <c r="C35" i="34"/>
  <c r="E35" i="34" s="1"/>
  <c r="E34" i="34"/>
  <c r="E32" i="34"/>
  <c r="E31" i="34"/>
  <c r="E30" i="34"/>
  <c r="E29" i="34"/>
  <c r="E28" i="34"/>
  <c r="E27" i="34"/>
  <c r="E26" i="34"/>
  <c r="C25" i="34"/>
  <c r="C22" i="34" s="1"/>
  <c r="D22" i="34" s="1"/>
  <c r="E22" i="34" s="1"/>
  <c r="E24" i="34"/>
  <c r="E23" i="34"/>
  <c r="E20" i="34"/>
  <c r="E19" i="34"/>
  <c r="E18" i="34"/>
  <c r="D17" i="34"/>
  <c r="E17" i="34" s="1"/>
  <c r="C17" i="34"/>
  <c r="E16" i="34"/>
  <c r="A16" i="34"/>
  <c r="A17" i="34" s="1"/>
  <c r="A20" i="34" s="1"/>
  <c r="A21" i="34" s="1"/>
  <c r="A22" i="34" s="1"/>
  <c r="E15" i="34"/>
  <c r="D15" i="34"/>
  <c r="A15" i="34"/>
  <c r="E14" i="34"/>
  <c r="E13" i="34"/>
  <c r="E12" i="34"/>
  <c r="E11" i="34"/>
  <c r="D10" i="34"/>
  <c r="D9" i="34" s="1"/>
  <c r="C10" i="34"/>
  <c r="C9" i="34" s="1"/>
  <c r="S147" i="38"/>
  <c r="S146" i="38"/>
  <c r="S145" i="38"/>
  <c r="V144" i="38"/>
  <c r="U144" i="38"/>
  <c r="T144" i="38"/>
  <c r="S144" i="38"/>
  <c r="R144" i="38"/>
  <c r="Q144" i="38"/>
  <c r="P144" i="38"/>
  <c r="O144" i="38"/>
  <c r="N144" i="38"/>
  <c r="M144" i="38"/>
  <c r="L144" i="38"/>
  <c r="K144" i="38"/>
  <c r="J144" i="38"/>
  <c r="I144" i="38"/>
  <c r="H144" i="38"/>
  <c r="G144" i="38"/>
  <c r="S143" i="38"/>
  <c r="O143" i="38"/>
  <c r="O142" i="38" s="1"/>
  <c r="O141" i="38" s="1"/>
  <c r="O137" i="38" s="1"/>
  <c r="O125" i="38" s="1"/>
  <c r="K143" i="38"/>
  <c r="K142" i="38" s="1"/>
  <c r="K141" i="38" s="1"/>
  <c r="G143" i="38"/>
  <c r="V142" i="38"/>
  <c r="U142" i="38"/>
  <c r="T142" i="38"/>
  <c r="S142" i="38"/>
  <c r="R142" i="38"/>
  <c r="Q142" i="38"/>
  <c r="P142" i="38"/>
  <c r="N142" i="38"/>
  <c r="M142" i="38"/>
  <c r="L142" i="38"/>
  <c r="J142" i="38"/>
  <c r="I142" i="38"/>
  <c r="H142" i="38"/>
  <c r="H141" i="38" s="1"/>
  <c r="H137" i="38" s="1"/>
  <c r="H125" i="38" s="1"/>
  <c r="G142" i="38"/>
  <c r="V141" i="38"/>
  <c r="U141" i="38"/>
  <c r="T141" i="38"/>
  <c r="S141" i="38"/>
  <c r="R141" i="38"/>
  <c r="Q141" i="38"/>
  <c r="P141" i="38"/>
  <c r="P137" i="38" s="1"/>
  <c r="P125" i="38" s="1"/>
  <c r="N141" i="38"/>
  <c r="M141" i="38"/>
  <c r="L141" i="38"/>
  <c r="J141" i="38"/>
  <c r="I141" i="38"/>
  <c r="G141" i="38"/>
  <c r="S140" i="38"/>
  <c r="O140" i="38"/>
  <c r="K140" i="38"/>
  <c r="V139" i="38"/>
  <c r="U139" i="38"/>
  <c r="T139" i="38"/>
  <c r="S139" i="38"/>
  <c r="R139" i="38"/>
  <c r="Q139" i="38"/>
  <c r="P139" i="38"/>
  <c r="O139" i="38"/>
  <c r="N139" i="38"/>
  <c r="M139" i="38"/>
  <c r="L139" i="38"/>
  <c r="K139" i="38"/>
  <c r="J139" i="38"/>
  <c r="I139" i="38"/>
  <c r="H139" i="38"/>
  <c r="G139" i="38"/>
  <c r="V138" i="38"/>
  <c r="U138" i="38"/>
  <c r="T138" i="38"/>
  <c r="S138" i="38"/>
  <c r="R138" i="38"/>
  <c r="Q138" i="38"/>
  <c r="P138" i="38"/>
  <c r="O138" i="38"/>
  <c r="N138" i="38"/>
  <c r="M138" i="38"/>
  <c r="L138" i="38"/>
  <c r="K138" i="38"/>
  <c r="J138" i="38"/>
  <c r="I138" i="38"/>
  <c r="H138" i="38"/>
  <c r="G138" i="38"/>
  <c r="V137" i="38"/>
  <c r="U137" i="38"/>
  <c r="T137" i="38"/>
  <c r="S137" i="38"/>
  <c r="R137" i="38"/>
  <c r="Q137" i="38"/>
  <c r="N137" i="38"/>
  <c r="M137" i="38"/>
  <c r="L137" i="38"/>
  <c r="K137" i="38"/>
  <c r="J137" i="38"/>
  <c r="I137" i="38"/>
  <c r="G137" i="38"/>
  <c r="S136" i="38"/>
  <c r="O136" i="38"/>
  <c r="K136" i="38"/>
  <c r="G136" i="38"/>
  <c r="S135" i="38"/>
  <c r="O135" i="38"/>
  <c r="K135" i="38"/>
  <c r="G135" i="38"/>
  <c r="S134" i="38"/>
  <c r="O134" i="38"/>
  <c r="K134" i="38"/>
  <c r="G134" i="38"/>
  <c r="S133" i="38"/>
  <c r="O133" i="38"/>
  <c r="K133" i="38"/>
  <c r="G133" i="38"/>
  <c r="S132" i="38"/>
  <c r="O132" i="38"/>
  <c r="K132" i="38"/>
  <c r="G132" i="38"/>
  <c r="S131" i="38"/>
  <c r="O131" i="38"/>
  <c r="K131" i="38"/>
  <c r="G131" i="38"/>
  <c r="S130" i="38"/>
  <c r="O130" i="38"/>
  <c r="K130" i="38"/>
  <c r="G130" i="38"/>
  <c r="S129" i="38"/>
  <c r="O129" i="38"/>
  <c r="K129" i="38"/>
  <c r="G129" i="38"/>
  <c r="S128" i="38"/>
  <c r="O128" i="38"/>
  <c r="K128" i="38"/>
  <c r="G128" i="38"/>
  <c r="G126" i="38" s="1"/>
  <c r="G125" i="38" s="1"/>
  <c r="S127" i="38"/>
  <c r="O127" i="38"/>
  <c r="K127" i="38"/>
  <c r="G127" i="38"/>
  <c r="V126" i="38"/>
  <c r="U126" i="38"/>
  <c r="T126" i="38"/>
  <c r="S126" i="38"/>
  <c r="S125" i="38" s="1"/>
  <c r="R126" i="38"/>
  <c r="Q126" i="38"/>
  <c r="P126" i="38"/>
  <c r="O126" i="38"/>
  <c r="N126" i="38"/>
  <c r="M126" i="38"/>
  <c r="L126" i="38"/>
  <c r="K126" i="38"/>
  <c r="J126" i="38"/>
  <c r="I126" i="38"/>
  <c r="H126" i="38"/>
  <c r="V125" i="38"/>
  <c r="U125" i="38"/>
  <c r="T125" i="38"/>
  <c r="R125" i="38"/>
  <c r="Q125" i="38"/>
  <c r="N125" i="38"/>
  <c r="M125" i="38"/>
  <c r="L125" i="38"/>
  <c r="K125" i="38"/>
  <c r="J125" i="38"/>
  <c r="I125" i="38"/>
  <c r="S124" i="38"/>
  <c r="S123" i="38" s="1"/>
  <c r="V123" i="38"/>
  <c r="U123" i="38"/>
  <c r="T123" i="38"/>
  <c r="R123" i="38"/>
  <c r="Q123" i="38"/>
  <c r="P123" i="38"/>
  <c r="O123" i="38"/>
  <c r="N123" i="38"/>
  <c r="M123" i="38"/>
  <c r="L123" i="38"/>
  <c r="K123" i="38"/>
  <c r="J123" i="38"/>
  <c r="I123" i="38"/>
  <c r="H123" i="38"/>
  <c r="G123" i="38"/>
  <c r="S122" i="38"/>
  <c r="O122" i="38"/>
  <c r="K122" i="38"/>
  <c r="K121" i="38" s="1"/>
  <c r="V121" i="38"/>
  <c r="U121" i="38"/>
  <c r="T121" i="38"/>
  <c r="S121" i="38"/>
  <c r="R121" i="38"/>
  <c r="Q121" i="38"/>
  <c r="P121" i="38"/>
  <c r="O121" i="38"/>
  <c r="N121" i="38"/>
  <c r="M121" i="38"/>
  <c r="L121" i="38"/>
  <c r="J121" i="38"/>
  <c r="I121" i="38"/>
  <c r="H121" i="38"/>
  <c r="G121" i="38"/>
  <c r="S120" i="38"/>
  <c r="O120" i="38"/>
  <c r="O119" i="38" s="1"/>
  <c r="K120" i="38"/>
  <c r="V119" i="38"/>
  <c r="U119" i="38"/>
  <c r="T119" i="38"/>
  <c r="S119" i="38"/>
  <c r="R119" i="38"/>
  <c r="Q119" i="38"/>
  <c r="P119" i="38"/>
  <c r="N119" i="38"/>
  <c r="M119" i="38"/>
  <c r="L119" i="38"/>
  <c r="K119" i="38"/>
  <c r="J119" i="38"/>
  <c r="I119" i="38"/>
  <c r="H119" i="38"/>
  <c r="G119" i="38"/>
  <c r="S118" i="38"/>
  <c r="S117" i="38" s="1"/>
  <c r="O118" i="38"/>
  <c r="O117" i="38" s="1"/>
  <c r="K118" i="38"/>
  <c r="V117" i="38"/>
  <c r="U117" i="38"/>
  <c r="U91" i="38" s="1"/>
  <c r="U75" i="38" s="1"/>
  <c r="T117" i="38"/>
  <c r="R117" i="38"/>
  <c r="Q117" i="38"/>
  <c r="P117" i="38"/>
  <c r="N117" i="38"/>
  <c r="M117" i="38"/>
  <c r="M91" i="38" s="1"/>
  <c r="M59" i="38" s="1"/>
  <c r="L117" i="38"/>
  <c r="K117" i="38"/>
  <c r="J117" i="38"/>
  <c r="I117" i="38"/>
  <c r="H117" i="38"/>
  <c r="G117" i="38"/>
  <c r="S116" i="38"/>
  <c r="S115" i="38" s="1"/>
  <c r="O116" i="38"/>
  <c r="O115" i="38" s="1"/>
  <c r="K116" i="38"/>
  <c r="V115" i="38"/>
  <c r="U115" i="38"/>
  <c r="T115" i="38"/>
  <c r="R115" i="38"/>
  <c r="Q115" i="38"/>
  <c r="P115" i="38"/>
  <c r="N115" i="38"/>
  <c r="M115" i="38"/>
  <c r="L115" i="38"/>
  <c r="K115" i="38"/>
  <c r="J115" i="38"/>
  <c r="I115" i="38"/>
  <c r="H115" i="38"/>
  <c r="G115" i="38"/>
  <c r="S114" i="38"/>
  <c r="S113" i="38" s="1"/>
  <c r="V113" i="38"/>
  <c r="U113" i="38"/>
  <c r="T113" i="38"/>
  <c r="R113" i="38"/>
  <c r="Q113" i="38"/>
  <c r="P113" i="38"/>
  <c r="O113" i="38"/>
  <c r="N113" i="38"/>
  <c r="M113" i="38"/>
  <c r="L113" i="38"/>
  <c r="K113" i="38"/>
  <c r="J113" i="38"/>
  <c r="I113" i="38"/>
  <c r="H113" i="38"/>
  <c r="G113" i="38"/>
  <c r="S112" i="38"/>
  <c r="S111" i="38" s="1"/>
  <c r="O112" i="38"/>
  <c r="O111" i="38" s="1"/>
  <c r="K112" i="38"/>
  <c r="K111" i="38" s="1"/>
  <c r="V111" i="38"/>
  <c r="U111" i="38"/>
  <c r="T111" i="38"/>
  <c r="T91" i="38" s="1"/>
  <c r="R111" i="38"/>
  <c r="Q111" i="38"/>
  <c r="P111" i="38"/>
  <c r="N111" i="38"/>
  <c r="M111" i="38"/>
  <c r="L111" i="38"/>
  <c r="L91" i="38" s="1"/>
  <c r="L59" i="38" s="1"/>
  <c r="J111" i="38"/>
  <c r="I111" i="38"/>
  <c r="H111" i="38"/>
  <c r="G111" i="38"/>
  <c r="S110" i="38"/>
  <c r="O110" i="38"/>
  <c r="K110" i="38"/>
  <c r="S109" i="38"/>
  <c r="O109" i="38"/>
  <c r="K109" i="38"/>
  <c r="V108" i="38"/>
  <c r="S108" i="38" s="1"/>
  <c r="O108" i="38"/>
  <c r="K108" i="38"/>
  <c r="S107" i="38"/>
  <c r="O107" i="38"/>
  <c r="K107" i="38"/>
  <c r="S106" i="38"/>
  <c r="O106" i="38"/>
  <c r="K106" i="38"/>
  <c r="S105" i="38"/>
  <c r="O105" i="38"/>
  <c r="K105" i="38"/>
  <c r="V104" i="38"/>
  <c r="S104" i="38"/>
  <c r="O104" i="38"/>
  <c r="K104" i="38"/>
  <c r="V103" i="38"/>
  <c r="S103" i="38" s="1"/>
  <c r="O103" i="38"/>
  <c r="K103" i="38"/>
  <c r="S102" i="38"/>
  <c r="S101" i="38"/>
  <c r="O101" i="38"/>
  <c r="K101" i="38"/>
  <c r="V100" i="38"/>
  <c r="V99" i="38" s="1"/>
  <c r="O100" i="38"/>
  <c r="K100" i="38"/>
  <c r="K99" i="38" s="1"/>
  <c r="U99" i="38"/>
  <c r="T99" i="38"/>
  <c r="R99" i="38"/>
  <c r="Q99" i="38"/>
  <c r="P99" i="38"/>
  <c r="O99" i="38"/>
  <c r="N99" i="38"/>
  <c r="M99" i="38"/>
  <c r="L99" i="38"/>
  <c r="J99" i="38"/>
  <c r="I99" i="38"/>
  <c r="H99" i="38"/>
  <c r="G99" i="38"/>
  <c r="S98" i="38"/>
  <c r="O98" i="38"/>
  <c r="O97" i="38" s="1"/>
  <c r="K98" i="38"/>
  <c r="V97" i="38"/>
  <c r="U97" i="38"/>
  <c r="T97" i="38"/>
  <c r="S97" i="38"/>
  <c r="R97" i="38"/>
  <c r="Q97" i="38"/>
  <c r="P97" i="38"/>
  <c r="N97" i="38"/>
  <c r="N91" i="38" s="1"/>
  <c r="N59" i="38" s="1"/>
  <c r="M97" i="38"/>
  <c r="L97" i="38"/>
  <c r="K97" i="38"/>
  <c r="J97" i="38"/>
  <c r="J91" i="38" s="1"/>
  <c r="J59" i="38" s="1"/>
  <c r="I97" i="38"/>
  <c r="H97" i="38"/>
  <c r="H91" i="38" s="1"/>
  <c r="H59" i="38" s="1"/>
  <c r="G97" i="38"/>
  <c r="V96" i="38"/>
  <c r="S96" i="38" s="1"/>
  <c r="O96" i="38"/>
  <c r="K96" i="38"/>
  <c r="V95" i="38"/>
  <c r="S95" i="38" s="1"/>
  <c r="O95" i="38"/>
  <c r="K95" i="38"/>
  <c r="V94" i="38"/>
  <c r="V92" i="38" s="1"/>
  <c r="V91" i="38" s="1"/>
  <c r="V75" i="38" s="1"/>
  <c r="O94" i="38"/>
  <c r="K94" i="38"/>
  <c r="S93" i="38"/>
  <c r="O93" i="38"/>
  <c r="K93" i="38"/>
  <c r="K92" i="38" s="1"/>
  <c r="U92" i="38"/>
  <c r="T92" i="38"/>
  <c r="R92" i="38"/>
  <c r="Q92" i="38"/>
  <c r="P92" i="38"/>
  <c r="O92" i="38"/>
  <c r="N92" i="38"/>
  <c r="M92" i="38"/>
  <c r="L92" i="38"/>
  <c r="J92" i="38"/>
  <c r="I92" i="38"/>
  <c r="I91" i="38" s="1"/>
  <c r="I59" i="38" s="1"/>
  <c r="H92" i="38"/>
  <c r="G92" i="38"/>
  <c r="Q91" i="38"/>
  <c r="Q59" i="38" s="1"/>
  <c r="S90" i="38"/>
  <c r="S89" i="38"/>
  <c r="O89" i="38"/>
  <c r="K89" i="38"/>
  <c r="G89" i="38"/>
  <c r="S88" i="38"/>
  <c r="O88" i="38"/>
  <c r="K88" i="38"/>
  <c r="G88" i="38"/>
  <c r="S87" i="38"/>
  <c r="S86" i="38"/>
  <c r="S85" i="38"/>
  <c r="S84" i="38"/>
  <c r="S83" i="38"/>
  <c r="S82" i="38"/>
  <c r="S81" i="38"/>
  <c r="S80" i="38"/>
  <c r="S79" i="38"/>
  <c r="S78" i="38"/>
  <c r="V77" i="38"/>
  <c r="U77" i="38"/>
  <c r="T77" i="38"/>
  <c r="T75" i="38" s="1"/>
  <c r="O77" i="38"/>
  <c r="K77" i="38"/>
  <c r="G77" i="38"/>
  <c r="S76" i="38"/>
  <c r="S74" i="38"/>
  <c r="S73" i="38"/>
  <c r="S72" i="38"/>
  <c r="V71" i="38"/>
  <c r="V59" i="38" s="1"/>
  <c r="U71" i="38"/>
  <c r="T71" i="38"/>
  <c r="T59" i="38" s="1"/>
  <c r="S71" i="38"/>
  <c r="S59" i="38" s="1"/>
  <c r="S70" i="38"/>
  <c r="O70" i="38"/>
  <c r="K70" i="38"/>
  <c r="G70" i="38"/>
  <c r="S69" i="38"/>
  <c r="O69" i="38"/>
  <c r="K69" i="38"/>
  <c r="G69" i="38"/>
  <c r="S68" i="38"/>
  <c r="O68" i="38"/>
  <c r="K68" i="38"/>
  <c r="G68" i="38"/>
  <c r="S67" i="38"/>
  <c r="O67" i="38"/>
  <c r="K67" i="38"/>
  <c r="G67" i="38"/>
  <c r="S66" i="38"/>
  <c r="O66" i="38"/>
  <c r="K66" i="38"/>
  <c r="G66" i="38"/>
  <c r="S65" i="38"/>
  <c r="O65" i="38"/>
  <c r="K65" i="38"/>
  <c r="G65" i="38"/>
  <c r="S64" i="38"/>
  <c r="O64" i="38"/>
  <c r="K64" i="38"/>
  <c r="G64" i="38"/>
  <c r="S63" i="38"/>
  <c r="O63" i="38"/>
  <c r="K63" i="38"/>
  <c r="G63" i="38"/>
  <c r="S62" i="38"/>
  <c r="O62" i="38"/>
  <c r="K62" i="38"/>
  <c r="G62" i="38"/>
  <c r="S61" i="38"/>
  <c r="O61" i="38"/>
  <c r="K61" i="38"/>
  <c r="G61" i="38"/>
  <c r="V60" i="38"/>
  <c r="U60" i="38"/>
  <c r="T60" i="38"/>
  <c r="S60" i="38"/>
  <c r="R60" i="38"/>
  <c r="Q60" i="38"/>
  <c r="P60" i="38"/>
  <c r="O60" i="38"/>
  <c r="N60" i="38"/>
  <c r="M60" i="38"/>
  <c r="L60" i="38"/>
  <c r="K60" i="38"/>
  <c r="J60" i="38"/>
  <c r="I60" i="38"/>
  <c r="H60" i="38"/>
  <c r="G60" i="38"/>
  <c r="U59" i="38"/>
  <c r="S58" i="38"/>
  <c r="O58" i="38"/>
  <c r="K58" i="38"/>
  <c r="G58" i="38"/>
  <c r="G56" i="38" s="1"/>
  <c r="V57" i="38"/>
  <c r="V56" i="38" s="1"/>
  <c r="O57" i="38"/>
  <c r="O56" i="38" s="1"/>
  <c r="N57" i="38"/>
  <c r="G57" i="38"/>
  <c r="U56" i="38"/>
  <c r="T56" i="38"/>
  <c r="R56" i="38"/>
  <c r="Q56" i="38"/>
  <c r="P56" i="38"/>
  <c r="M56" i="38"/>
  <c r="L56" i="38"/>
  <c r="J56" i="38"/>
  <c r="I56" i="38"/>
  <c r="H56" i="38"/>
  <c r="S55" i="38"/>
  <c r="S54" i="38" s="1"/>
  <c r="O55" i="38"/>
  <c r="O54" i="38" s="1"/>
  <c r="K55" i="38"/>
  <c r="K54" i="38" s="1"/>
  <c r="V54" i="38"/>
  <c r="U54" i="38"/>
  <c r="T54" i="38"/>
  <c r="R54" i="38"/>
  <c r="Q54" i="38"/>
  <c r="P54" i="38"/>
  <c r="N54" i="38"/>
  <c r="M54" i="38"/>
  <c r="L54" i="38"/>
  <c r="J54" i="38"/>
  <c r="I54" i="38"/>
  <c r="H54" i="38"/>
  <c r="G54" i="38"/>
  <c r="S53" i="38"/>
  <c r="O53" i="38"/>
  <c r="K53" i="38"/>
  <c r="V52" i="38"/>
  <c r="U52" i="38"/>
  <c r="T52" i="38"/>
  <c r="S52" i="38"/>
  <c r="R52" i="38"/>
  <c r="Q52" i="38"/>
  <c r="P52" i="38"/>
  <c r="O52" i="38"/>
  <c r="N52" i="38"/>
  <c r="M52" i="38"/>
  <c r="L52" i="38"/>
  <c r="K52" i="38"/>
  <c r="J52" i="38"/>
  <c r="I52" i="38"/>
  <c r="H52" i="38"/>
  <c r="G52" i="38"/>
  <c r="S51" i="38"/>
  <c r="O51" i="38"/>
  <c r="O50" i="38" s="1"/>
  <c r="K51" i="38"/>
  <c r="V50" i="38"/>
  <c r="U50" i="38"/>
  <c r="T50" i="38"/>
  <c r="S50" i="38"/>
  <c r="R50" i="38"/>
  <c r="Q50" i="38"/>
  <c r="P50" i="38"/>
  <c r="N50" i="38"/>
  <c r="M50" i="38"/>
  <c r="L50" i="38"/>
  <c r="K50" i="38"/>
  <c r="J50" i="38"/>
  <c r="I50" i="38"/>
  <c r="H50" i="38"/>
  <c r="G50" i="38"/>
  <c r="S49" i="38"/>
  <c r="S48" i="38" s="1"/>
  <c r="O49" i="38"/>
  <c r="O48" i="38" s="1"/>
  <c r="K49" i="38"/>
  <c r="V48" i="38"/>
  <c r="U48" i="38"/>
  <c r="T48" i="38"/>
  <c r="R48" i="38"/>
  <c r="Q48" i="38"/>
  <c r="P48" i="38"/>
  <c r="N48" i="38"/>
  <c r="M48" i="38"/>
  <c r="L48" i="38"/>
  <c r="K48" i="38"/>
  <c r="J48" i="38"/>
  <c r="I48" i="38"/>
  <c r="H48" i="38"/>
  <c r="G48" i="38"/>
  <c r="S47" i="38"/>
  <c r="S46" i="38" s="1"/>
  <c r="O47" i="38"/>
  <c r="O46" i="38" s="1"/>
  <c r="K47" i="38"/>
  <c r="V46" i="38"/>
  <c r="U46" i="38"/>
  <c r="T46" i="38"/>
  <c r="R46" i="38"/>
  <c r="Q46" i="38"/>
  <c r="P46" i="38"/>
  <c r="N46" i="38"/>
  <c r="M46" i="38"/>
  <c r="L46" i="38"/>
  <c r="K46" i="38"/>
  <c r="J46" i="38"/>
  <c r="I46" i="38"/>
  <c r="H46" i="38"/>
  <c r="G46" i="38"/>
  <c r="S45" i="38"/>
  <c r="O45" i="38"/>
  <c r="K45" i="38"/>
  <c r="V44" i="38"/>
  <c r="U44" i="38"/>
  <c r="T44" i="38"/>
  <c r="S44" i="38"/>
  <c r="R44" i="38"/>
  <c r="Q44" i="38"/>
  <c r="P44" i="38"/>
  <c r="O44" i="38"/>
  <c r="N44" i="38"/>
  <c r="M44" i="38"/>
  <c r="L44" i="38"/>
  <c r="K44" i="38"/>
  <c r="J44" i="38"/>
  <c r="I44" i="38"/>
  <c r="H44" i="38"/>
  <c r="G44" i="38"/>
  <c r="S43" i="38"/>
  <c r="O43" i="38"/>
  <c r="O41" i="38" s="1"/>
  <c r="K43" i="38"/>
  <c r="S42" i="38"/>
  <c r="S41" i="38" s="1"/>
  <c r="O42" i="38"/>
  <c r="K42" i="38"/>
  <c r="G42" i="38"/>
  <c r="V41" i="38"/>
  <c r="U41" i="38"/>
  <c r="T41" i="38"/>
  <c r="R41" i="38"/>
  <c r="Q41" i="38"/>
  <c r="P41" i="38"/>
  <c r="N41" i="38"/>
  <c r="M41" i="38"/>
  <c r="L41" i="38"/>
  <c r="K41" i="38"/>
  <c r="J41" i="38"/>
  <c r="I41" i="38"/>
  <c r="H41" i="38"/>
  <c r="G41" i="38"/>
  <c r="V40" i="38"/>
  <c r="V39" i="38" s="1"/>
  <c r="S40" i="38"/>
  <c r="S39" i="38" s="1"/>
  <c r="O40" i="38"/>
  <c r="K40" i="38"/>
  <c r="K39" i="38" s="1"/>
  <c r="G40" i="38"/>
  <c r="U39" i="38"/>
  <c r="U26" i="38" s="1"/>
  <c r="T39" i="38"/>
  <c r="R39" i="38"/>
  <c r="Q39" i="38"/>
  <c r="P39" i="38"/>
  <c r="O39" i="38"/>
  <c r="N39" i="38"/>
  <c r="M39" i="38"/>
  <c r="L39" i="38"/>
  <c r="J39" i="38"/>
  <c r="I39" i="38"/>
  <c r="H39" i="38"/>
  <c r="G39" i="38"/>
  <c r="S38" i="38"/>
  <c r="O38" i="38"/>
  <c r="O37" i="38" s="1"/>
  <c r="K38" i="38"/>
  <c r="V37" i="38"/>
  <c r="U37" i="38"/>
  <c r="T37" i="38"/>
  <c r="S37" i="38"/>
  <c r="R37" i="38"/>
  <c r="Q37" i="38"/>
  <c r="P37" i="38"/>
  <c r="N37" i="38"/>
  <c r="M37" i="38"/>
  <c r="L37" i="38"/>
  <c r="K37" i="38"/>
  <c r="J37" i="38"/>
  <c r="I37" i="38"/>
  <c r="H37" i="38"/>
  <c r="G37" i="38"/>
  <c r="V36" i="38"/>
  <c r="S36" i="38" s="1"/>
  <c r="S35" i="38" s="1"/>
  <c r="O36" i="38"/>
  <c r="K36" i="38"/>
  <c r="K35" i="38" s="1"/>
  <c r="U35" i="38"/>
  <c r="T35" i="38"/>
  <c r="T26" i="38" s="1"/>
  <c r="T14" i="38" s="1"/>
  <c r="R35" i="38"/>
  <c r="Q35" i="38"/>
  <c r="P35" i="38"/>
  <c r="O35" i="38"/>
  <c r="N35" i="38"/>
  <c r="M35" i="38"/>
  <c r="L35" i="38"/>
  <c r="L26" i="38" s="1"/>
  <c r="L14" i="38" s="1"/>
  <c r="L13" i="38" s="1"/>
  <c r="L12" i="38" s="1"/>
  <c r="J35" i="38"/>
  <c r="I35" i="38"/>
  <c r="I26" i="38" s="1"/>
  <c r="I14" i="38" s="1"/>
  <c r="I13" i="38" s="1"/>
  <c r="I12" i="38" s="1"/>
  <c r="H35" i="38"/>
  <c r="G35" i="38"/>
  <c r="V34" i="38"/>
  <c r="S34" i="38" s="1"/>
  <c r="S33" i="38" s="1"/>
  <c r="O34" i="38"/>
  <c r="O33" i="38" s="1"/>
  <c r="K34" i="38"/>
  <c r="V33" i="38"/>
  <c r="U33" i="38"/>
  <c r="T33" i="38"/>
  <c r="R33" i="38"/>
  <c r="Q33" i="38"/>
  <c r="P33" i="38"/>
  <c r="N33" i="38"/>
  <c r="M33" i="38"/>
  <c r="L33" i="38"/>
  <c r="K33" i="38"/>
  <c r="J33" i="38"/>
  <c r="I33" i="38"/>
  <c r="H33" i="38"/>
  <c r="G33" i="38"/>
  <c r="S32" i="38"/>
  <c r="O32" i="38"/>
  <c r="K32" i="38"/>
  <c r="G32" i="38"/>
  <c r="S31" i="38"/>
  <c r="O31" i="38"/>
  <c r="K31" i="38"/>
  <c r="G31" i="38"/>
  <c r="S30" i="38"/>
  <c r="O30" i="38"/>
  <c r="O27" i="38" s="1"/>
  <c r="K30" i="38"/>
  <c r="G30" i="38"/>
  <c r="V29" i="38"/>
  <c r="S29" i="38" s="1"/>
  <c r="O29" i="38"/>
  <c r="K29" i="38"/>
  <c r="V28" i="38"/>
  <c r="V27" i="38" s="1"/>
  <c r="O28" i="38"/>
  <c r="K28" i="38"/>
  <c r="G28" i="38"/>
  <c r="G27" i="38" s="1"/>
  <c r="G26" i="38" s="1"/>
  <c r="G14" i="38" s="1"/>
  <c r="U27" i="38"/>
  <c r="T27" i="38"/>
  <c r="R27" i="38"/>
  <c r="Q27" i="38"/>
  <c r="P27" i="38"/>
  <c r="P26" i="38" s="1"/>
  <c r="N27" i="38"/>
  <c r="M27" i="38"/>
  <c r="M26" i="38" s="1"/>
  <c r="L27" i="38"/>
  <c r="K27" i="38"/>
  <c r="J27" i="38"/>
  <c r="J26" i="38" s="1"/>
  <c r="I27" i="38"/>
  <c r="H27" i="38"/>
  <c r="H26" i="38"/>
  <c r="S25" i="38"/>
  <c r="O25" i="38"/>
  <c r="K25" i="38"/>
  <c r="G25" i="38"/>
  <c r="S24" i="38"/>
  <c r="O24" i="38"/>
  <c r="K24" i="38"/>
  <c r="G24" i="38"/>
  <c r="S23" i="38"/>
  <c r="O23" i="38"/>
  <c r="K23" i="38"/>
  <c r="G23" i="38"/>
  <c r="S22" i="38"/>
  <c r="O22" i="38"/>
  <c r="K22" i="38"/>
  <c r="G22" i="38"/>
  <c r="S21" i="38"/>
  <c r="O21" i="38"/>
  <c r="K21" i="38"/>
  <c r="G21" i="38"/>
  <c r="S20" i="38"/>
  <c r="O20" i="38"/>
  <c r="K20" i="38"/>
  <c r="G20" i="38"/>
  <c r="S19" i="38"/>
  <c r="O19" i="38"/>
  <c r="K19" i="38"/>
  <c r="G19" i="38"/>
  <c r="S18" i="38"/>
  <c r="O18" i="38"/>
  <c r="K18" i="38"/>
  <c r="G18" i="38"/>
  <c r="S17" i="38"/>
  <c r="O17" i="38"/>
  <c r="O15" i="38" s="1"/>
  <c r="K17" i="38"/>
  <c r="G17" i="38"/>
  <c r="S16" i="38"/>
  <c r="S15" i="38" s="1"/>
  <c r="O16" i="38"/>
  <c r="K16" i="38"/>
  <c r="K15" i="38" s="1"/>
  <c r="G16" i="38"/>
  <c r="V15" i="38"/>
  <c r="U15" i="38"/>
  <c r="T15" i="38"/>
  <c r="R15" i="38"/>
  <c r="Q15" i="38"/>
  <c r="P15" i="38"/>
  <c r="N15" i="38"/>
  <c r="M15" i="38"/>
  <c r="M14" i="38" s="1"/>
  <c r="M13" i="38" s="1"/>
  <c r="M12" i="38" s="1"/>
  <c r="L15" i="38"/>
  <c r="J15" i="38"/>
  <c r="I15" i="38"/>
  <c r="H15" i="38"/>
  <c r="G15" i="38"/>
  <c r="L27" i="37"/>
  <c r="F27" i="37"/>
  <c r="E27" i="37"/>
  <c r="D27" i="37"/>
  <c r="G27" i="37" s="1"/>
  <c r="C27" i="37"/>
  <c r="L26" i="37"/>
  <c r="F26" i="37"/>
  <c r="G26" i="37" s="1"/>
  <c r="E26" i="37"/>
  <c r="D26" i="37"/>
  <c r="C26" i="37"/>
  <c r="L25" i="37"/>
  <c r="F25" i="37"/>
  <c r="E25" i="37"/>
  <c r="D25" i="37"/>
  <c r="G25" i="37" s="1"/>
  <c r="C25" i="37"/>
  <c r="L24" i="37"/>
  <c r="F24" i="37"/>
  <c r="E24" i="37"/>
  <c r="D24" i="37"/>
  <c r="G24" i="37" s="1"/>
  <c r="C24" i="37"/>
  <c r="L23" i="37"/>
  <c r="F23" i="37"/>
  <c r="E23" i="37"/>
  <c r="D23" i="37"/>
  <c r="G23" i="37" s="1"/>
  <c r="C23" i="37"/>
  <c r="L22" i="37"/>
  <c r="F22" i="37"/>
  <c r="G22" i="37" s="1"/>
  <c r="E22" i="37"/>
  <c r="D22" i="37"/>
  <c r="C22" i="37"/>
  <c r="L21" i="37"/>
  <c r="F21" i="37"/>
  <c r="E21" i="37"/>
  <c r="D21" i="37"/>
  <c r="G21" i="37" s="1"/>
  <c r="C21" i="37"/>
  <c r="L20" i="37"/>
  <c r="F20" i="37"/>
  <c r="E20" i="37"/>
  <c r="D20" i="37"/>
  <c r="G20" i="37" s="1"/>
  <c r="C20" i="37"/>
  <c r="L19" i="37"/>
  <c r="F19" i="37"/>
  <c r="E19" i="37"/>
  <c r="D19" i="37"/>
  <c r="G19" i="37" s="1"/>
  <c r="C19" i="37"/>
  <c r="L18" i="37"/>
  <c r="F18" i="37"/>
  <c r="G18" i="37" s="1"/>
  <c r="E18" i="37"/>
  <c r="D18" i="37"/>
  <c r="C18" i="37"/>
  <c r="L17" i="37"/>
  <c r="F17" i="37"/>
  <c r="E17" i="37"/>
  <c r="D17" i="37"/>
  <c r="G17" i="37" s="1"/>
  <c r="C17" i="37"/>
  <c r="L16" i="37"/>
  <c r="F16" i="37"/>
  <c r="E16" i="37"/>
  <c r="D16" i="37"/>
  <c r="G16" i="37" s="1"/>
  <c r="C16" i="37"/>
  <c r="L15" i="37"/>
  <c r="F15" i="37"/>
  <c r="E15" i="37"/>
  <c r="D15" i="37"/>
  <c r="G15" i="37" s="1"/>
  <c r="C15" i="37"/>
  <c r="L14" i="37"/>
  <c r="F14" i="37"/>
  <c r="G14" i="37" s="1"/>
  <c r="E14" i="37"/>
  <c r="D14" i="37"/>
  <c r="C14" i="37"/>
  <c r="L13" i="37"/>
  <c r="F13" i="37"/>
  <c r="E13" i="37"/>
  <c r="D13" i="37"/>
  <c r="G13" i="37" s="1"/>
  <c r="C13" i="37"/>
  <c r="L12" i="37"/>
  <c r="F12" i="37"/>
  <c r="E12" i="37"/>
  <c r="D12" i="37"/>
  <c r="G12" i="37" s="1"/>
  <c r="C12" i="37"/>
  <c r="L11" i="37"/>
  <c r="F11" i="37"/>
  <c r="E11" i="37"/>
  <c r="E10" i="37" s="1"/>
  <c r="D11" i="37"/>
  <c r="G11" i="37" s="1"/>
  <c r="C11" i="37"/>
  <c r="K10" i="37"/>
  <c r="J10" i="37"/>
  <c r="I10" i="37"/>
  <c r="J9" i="37"/>
  <c r="K9" i="37" s="1"/>
  <c r="D9" i="37"/>
  <c r="E9" i="37" s="1"/>
  <c r="F9" i="37" s="1"/>
  <c r="BB20" i="31"/>
  <c r="AY20" i="31"/>
  <c r="AV20" i="31"/>
  <c r="AS20" i="31"/>
  <c r="AP20" i="31"/>
  <c r="AM20" i="31"/>
  <c r="AJ20" i="31"/>
  <c r="AG20" i="31"/>
  <c r="AD20" i="31"/>
  <c r="AA20" i="31"/>
  <c r="X20" i="31"/>
  <c r="U20" i="31"/>
  <c r="R20" i="31"/>
  <c r="O20" i="31"/>
  <c r="L20" i="31"/>
  <c r="I20" i="31"/>
  <c r="F20" i="31"/>
  <c r="E20" i="31"/>
  <c r="D20" i="31"/>
  <c r="C20" i="31"/>
  <c r="BB19" i="31"/>
  <c r="AY19" i="31"/>
  <c r="AV19" i="31"/>
  <c r="AS19" i="31"/>
  <c r="G18" i="29" s="1"/>
  <c r="AP19" i="31"/>
  <c r="AM19" i="31"/>
  <c r="AJ19" i="31"/>
  <c r="AG19" i="31"/>
  <c r="AD19" i="31"/>
  <c r="AA19" i="31"/>
  <c r="X19" i="31"/>
  <c r="U19" i="31"/>
  <c r="R19" i="31"/>
  <c r="O19" i="31"/>
  <c r="L19" i="31"/>
  <c r="I19" i="31"/>
  <c r="F19" i="31"/>
  <c r="E19" i="31"/>
  <c r="D19" i="31"/>
  <c r="C19" i="31"/>
  <c r="F18" i="29" s="1"/>
  <c r="E18" i="29" s="1"/>
  <c r="C18" i="29" s="1"/>
  <c r="BB18" i="31"/>
  <c r="AY18" i="31"/>
  <c r="AV18" i="31"/>
  <c r="AS18" i="31"/>
  <c r="AP18" i="31"/>
  <c r="AM18" i="31"/>
  <c r="AJ18" i="31"/>
  <c r="AG18" i="31"/>
  <c r="AD18" i="31"/>
  <c r="AA18" i="31"/>
  <c r="X18" i="31"/>
  <c r="U18" i="31"/>
  <c r="R18" i="31"/>
  <c r="O18" i="31"/>
  <c r="L18" i="31"/>
  <c r="I18" i="31"/>
  <c r="F18" i="31"/>
  <c r="E18" i="31"/>
  <c r="D18" i="31"/>
  <c r="C18" i="31"/>
  <c r="BB17" i="31"/>
  <c r="AY17" i="31"/>
  <c r="AV17" i="31"/>
  <c r="AS17" i="31"/>
  <c r="AP17" i="31"/>
  <c r="AM17" i="31"/>
  <c r="AJ17" i="31"/>
  <c r="AG17" i="31"/>
  <c r="AD17" i="31"/>
  <c r="AA17" i="31"/>
  <c r="X17" i="31"/>
  <c r="U17" i="31"/>
  <c r="R17" i="31"/>
  <c r="O17" i="31"/>
  <c r="L17" i="31"/>
  <c r="I17" i="31"/>
  <c r="F17" i="31"/>
  <c r="E17" i="31"/>
  <c r="D17" i="31"/>
  <c r="C17" i="31"/>
  <c r="BB16" i="31"/>
  <c r="AY16" i="31"/>
  <c r="AV16" i="31"/>
  <c r="AS16" i="31"/>
  <c r="AP16" i="31"/>
  <c r="AM16" i="31"/>
  <c r="AJ16" i="31"/>
  <c r="AG16" i="31"/>
  <c r="AD16" i="31"/>
  <c r="AA16" i="31"/>
  <c r="X16" i="31"/>
  <c r="U16" i="31"/>
  <c r="R16" i="31"/>
  <c r="O16" i="31"/>
  <c r="L16" i="31"/>
  <c r="I16" i="31"/>
  <c r="F16" i="31"/>
  <c r="E16" i="31"/>
  <c r="D16" i="31"/>
  <c r="BB15" i="31"/>
  <c r="AY15" i="31"/>
  <c r="G14" i="29" s="1"/>
  <c r="AV15" i="31"/>
  <c r="AS15" i="31"/>
  <c r="AP15" i="31"/>
  <c r="AM15" i="31"/>
  <c r="AJ15" i="31"/>
  <c r="AG15" i="31"/>
  <c r="AD15" i="31"/>
  <c r="AA15" i="31"/>
  <c r="X15" i="31"/>
  <c r="U15" i="31"/>
  <c r="R15" i="31"/>
  <c r="O15" i="31"/>
  <c r="M15" i="31"/>
  <c r="L15" i="31"/>
  <c r="I15" i="31"/>
  <c r="F15" i="31"/>
  <c r="E15" i="31"/>
  <c r="D15" i="31"/>
  <c r="C15" i="31"/>
  <c r="BB14" i="31"/>
  <c r="AY14" i="31"/>
  <c r="AV14" i="31"/>
  <c r="AS14" i="31"/>
  <c r="AP14" i="31"/>
  <c r="AM14" i="31"/>
  <c r="AJ14" i="31"/>
  <c r="AG14" i="31"/>
  <c r="AD14" i="31"/>
  <c r="AA14" i="31"/>
  <c r="X14" i="31"/>
  <c r="U14" i="31"/>
  <c r="R14" i="31"/>
  <c r="O14" i="31"/>
  <c r="L14" i="31"/>
  <c r="I14" i="31"/>
  <c r="F14" i="31"/>
  <c r="E14" i="31"/>
  <c r="E10" i="31" s="1"/>
  <c r="D14" i="31"/>
  <c r="C14" i="31"/>
  <c r="BB13" i="31"/>
  <c r="AY13" i="31"/>
  <c r="AV13" i="31"/>
  <c r="AS13" i="31"/>
  <c r="AP13" i="31"/>
  <c r="AM13" i="31"/>
  <c r="AJ13" i="31"/>
  <c r="AJ10" i="31" s="1"/>
  <c r="AG13" i="31"/>
  <c r="AD13" i="31"/>
  <c r="AA13" i="31"/>
  <c r="X13" i="31"/>
  <c r="U13" i="31"/>
  <c r="R13" i="31"/>
  <c r="O13" i="31"/>
  <c r="L13" i="31"/>
  <c r="L10" i="31" s="1"/>
  <c r="I13" i="31"/>
  <c r="F13" i="31"/>
  <c r="E13" i="31"/>
  <c r="D13" i="31"/>
  <c r="C13" i="31" s="1"/>
  <c r="BB12" i="31"/>
  <c r="AY12" i="31"/>
  <c r="AV12" i="31"/>
  <c r="G11" i="29" s="1"/>
  <c r="AS12" i="31"/>
  <c r="AP12" i="31"/>
  <c r="AM12" i="31"/>
  <c r="AJ12" i="31"/>
  <c r="AG12" i="31"/>
  <c r="AD12" i="31"/>
  <c r="AA12" i="31"/>
  <c r="X12" i="31"/>
  <c r="U12" i="31"/>
  <c r="R12" i="31"/>
  <c r="O12" i="31"/>
  <c r="O10" i="31" s="1"/>
  <c r="L12" i="31"/>
  <c r="I12" i="31"/>
  <c r="F12" i="31"/>
  <c r="E12" i="31"/>
  <c r="D12" i="31"/>
  <c r="C12" i="31" s="1"/>
  <c r="F11" i="29" s="1"/>
  <c r="E11" i="29" s="1"/>
  <c r="A12" i="31"/>
  <c r="A13" i="31" s="1"/>
  <c r="A14" i="31" s="1"/>
  <c r="A15" i="31" s="1"/>
  <c r="A16" i="31" s="1"/>
  <c r="A17" i="31" s="1"/>
  <c r="A18" i="31" s="1"/>
  <c r="A19" i="31" s="1"/>
  <c r="A20" i="31" s="1"/>
  <c r="BB11" i="31"/>
  <c r="BB10" i="31" s="1"/>
  <c r="AY11" i="31"/>
  <c r="AV11" i="31"/>
  <c r="AV10" i="31" s="1"/>
  <c r="AS11" i="31"/>
  <c r="AP11" i="31"/>
  <c r="AP10" i="31" s="1"/>
  <c r="AM11" i="31"/>
  <c r="AJ11" i="31"/>
  <c r="AG11" i="31"/>
  <c r="AD11" i="31"/>
  <c r="AD10" i="31" s="1"/>
  <c r="AA11" i="31"/>
  <c r="X11" i="31"/>
  <c r="U11" i="31"/>
  <c r="R11" i="31"/>
  <c r="O11" i="31"/>
  <c r="L11" i="31"/>
  <c r="I11" i="31"/>
  <c r="F11" i="31"/>
  <c r="E11" i="31"/>
  <c r="D11" i="31"/>
  <c r="C11" i="31" s="1"/>
  <c r="BD10" i="31"/>
  <c r="BC10" i="31"/>
  <c r="BA10" i="31"/>
  <c r="AZ10" i="31"/>
  <c r="AX10" i="31"/>
  <c r="AW10" i="31"/>
  <c r="AU10" i="31"/>
  <c r="AT10" i="31"/>
  <c r="AR10" i="31"/>
  <c r="AQ10" i="31"/>
  <c r="AO10" i="31"/>
  <c r="AN10" i="31"/>
  <c r="AM10" i="31"/>
  <c r="AL10" i="31"/>
  <c r="AK10" i="31"/>
  <c r="AI10" i="31"/>
  <c r="AH10" i="31"/>
  <c r="AF10" i="31"/>
  <c r="AE10" i="31"/>
  <c r="AC10" i="31"/>
  <c r="AB10" i="31"/>
  <c r="Z10" i="31"/>
  <c r="Y10" i="31"/>
  <c r="X10" i="31"/>
  <c r="W10" i="31"/>
  <c r="V10" i="31"/>
  <c r="T10" i="31"/>
  <c r="S10" i="31"/>
  <c r="R10" i="31"/>
  <c r="Q10" i="31"/>
  <c r="P10" i="31"/>
  <c r="N10" i="31"/>
  <c r="M10" i="31"/>
  <c r="K10" i="31"/>
  <c r="J10" i="31"/>
  <c r="H10" i="31"/>
  <c r="G10" i="31"/>
  <c r="AI9" i="31"/>
  <c r="AF9" i="31"/>
  <c r="AC9" i="31"/>
  <c r="Z9" i="31"/>
  <c r="W9" i="31"/>
  <c r="T9" i="31"/>
  <c r="Q9" i="31"/>
  <c r="N9" i="31"/>
  <c r="K9" i="31"/>
  <c r="H9" i="31"/>
  <c r="E9" i="31"/>
  <c r="AD21" i="30"/>
  <c r="AA21" i="30"/>
  <c r="X21" i="30"/>
  <c r="U21" i="30"/>
  <c r="R21" i="30"/>
  <c r="O21" i="30"/>
  <c r="L21" i="30"/>
  <c r="I21" i="30"/>
  <c r="F21" i="30"/>
  <c r="E21" i="30"/>
  <c r="D21" i="30"/>
  <c r="AD20" i="30"/>
  <c r="AA20" i="30"/>
  <c r="X20" i="30"/>
  <c r="U20" i="30"/>
  <c r="R20" i="30"/>
  <c r="O20" i="30"/>
  <c r="L20" i="30"/>
  <c r="I20" i="30"/>
  <c r="F20" i="30"/>
  <c r="E20" i="30"/>
  <c r="D20" i="30"/>
  <c r="D18" i="29" s="1"/>
  <c r="AD19" i="30"/>
  <c r="AA19" i="30"/>
  <c r="X19" i="30"/>
  <c r="U19" i="30"/>
  <c r="R19" i="30"/>
  <c r="O19" i="30"/>
  <c r="L19" i="30"/>
  <c r="I19" i="30"/>
  <c r="F19" i="30"/>
  <c r="E19" i="30"/>
  <c r="D19" i="30"/>
  <c r="C19" i="30"/>
  <c r="AD18" i="30"/>
  <c r="AA18" i="30"/>
  <c r="X18" i="30"/>
  <c r="U18" i="30"/>
  <c r="R18" i="30"/>
  <c r="O18" i="30"/>
  <c r="L18" i="30"/>
  <c r="I18" i="30"/>
  <c r="F18" i="30"/>
  <c r="E18" i="30"/>
  <c r="C18" i="30" s="1"/>
  <c r="D18" i="30"/>
  <c r="AD17" i="30"/>
  <c r="AA17" i="30"/>
  <c r="X17" i="30"/>
  <c r="U17" i="30"/>
  <c r="R17" i="30"/>
  <c r="O17" i="30"/>
  <c r="L17" i="30"/>
  <c r="I17" i="30"/>
  <c r="F17" i="30"/>
  <c r="E17" i="30"/>
  <c r="C17" i="30" s="1"/>
  <c r="D17" i="30"/>
  <c r="AD16" i="30"/>
  <c r="AA16" i="30"/>
  <c r="X16" i="30"/>
  <c r="U16" i="30"/>
  <c r="R16" i="30"/>
  <c r="O16" i="30"/>
  <c r="L16" i="30"/>
  <c r="I16" i="30"/>
  <c r="F16" i="30"/>
  <c r="E16" i="30"/>
  <c r="D16" i="30"/>
  <c r="AD15" i="30"/>
  <c r="AA15" i="30"/>
  <c r="X15" i="30"/>
  <c r="U15" i="30"/>
  <c r="R15" i="30"/>
  <c r="O15" i="30"/>
  <c r="L15" i="30"/>
  <c r="I15" i="30"/>
  <c r="F15" i="30"/>
  <c r="E15" i="30"/>
  <c r="D15" i="30"/>
  <c r="A15" i="30"/>
  <c r="A16" i="30" s="1"/>
  <c r="A17" i="30" s="1"/>
  <c r="A18" i="30" s="1"/>
  <c r="A19" i="30" s="1"/>
  <c r="A20" i="30" s="1"/>
  <c r="A21" i="30" s="1"/>
  <c r="AD14" i="30"/>
  <c r="AA14" i="30"/>
  <c r="X14" i="30"/>
  <c r="U14" i="30"/>
  <c r="R14" i="30"/>
  <c r="R11" i="30" s="1"/>
  <c r="O14" i="30"/>
  <c r="L14" i="30"/>
  <c r="I14" i="30"/>
  <c r="I11" i="30" s="1"/>
  <c r="F14" i="30"/>
  <c r="E14" i="30"/>
  <c r="D14" i="30"/>
  <c r="C14" i="30" s="1"/>
  <c r="A14" i="30"/>
  <c r="AD13" i="30"/>
  <c r="AD11" i="30" s="1"/>
  <c r="AA13" i="30"/>
  <c r="X13" i="30"/>
  <c r="U13" i="30"/>
  <c r="R13" i="30"/>
  <c r="O13" i="30"/>
  <c r="L13" i="30"/>
  <c r="I13" i="30"/>
  <c r="F13" i="30"/>
  <c r="E13" i="30"/>
  <c r="D13" i="30"/>
  <c r="C13" i="30"/>
  <c r="A13" i="30"/>
  <c r="AD12" i="30"/>
  <c r="AA12" i="30"/>
  <c r="X12" i="30"/>
  <c r="U12" i="30"/>
  <c r="U11" i="30" s="1"/>
  <c r="R12" i="30"/>
  <c r="O12" i="30"/>
  <c r="L12" i="30"/>
  <c r="I12" i="30"/>
  <c r="F12" i="30"/>
  <c r="E12" i="30"/>
  <c r="D12" i="30"/>
  <c r="D10" i="29" s="1"/>
  <c r="C12" i="30"/>
  <c r="AF11" i="30"/>
  <c r="AE11" i="30"/>
  <c r="AC11" i="30"/>
  <c r="AB11" i="30"/>
  <c r="Z11" i="30"/>
  <c r="Y11" i="30"/>
  <c r="W11" i="30"/>
  <c r="V11" i="30"/>
  <c r="T11" i="30"/>
  <c r="S11" i="30"/>
  <c r="Q11" i="30"/>
  <c r="P11" i="30"/>
  <c r="O11" i="30"/>
  <c r="N11" i="30"/>
  <c r="M11" i="30"/>
  <c r="K11" i="30"/>
  <c r="J11" i="30"/>
  <c r="H11" i="30"/>
  <c r="G11" i="30"/>
  <c r="F11" i="30"/>
  <c r="T10" i="30"/>
  <c r="Q10" i="30"/>
  <c r="N10" i="30"/>
  <c r="K10" i="30"/>
  <c r="H10" i="30"/>
  <c r="E10" i="30"/>
  <c r="G19" i="29"/>
  <c r="D17" i="29"/>
  <c r="G16" i="29"/>
  <c r="F16" i="29" s="1"/>
  <c r="E16" i="29" s="1"/>
  <c r="D16" i="29"/>
  <c r="G15" i="29"/>
  <c r="D15" i="29"/>
  <c r="G12" i="29"/>
  <c r="F12" i="29"/>
  <c r="E12" i="29" s="1"/>
  <c r="D11" i="29"/>
  <c r="A11" i="29"/>
  <c r="A12" i="29" s="1"/>
  <c r="A13" i="29" s="1"/>
  <c r="A14" i="29" s="1"/>
  <c r="A15" i="29" s="1"/>
  <c r="A16" i="29" s="1"/>
  <c r="A17" i="29" s="1"/>
  <c r="A18" i="29" s="1"/>
  <c r="A19" i="29" s="1"/>
  <c r="G10" i="29"/>
  <c r="H9" i="29"/>
  <c r="E8" i="29"/>
  <c r="H8" i="29" s="1"/>
  <c r="R20" i="21"/>
  <c r="E20" i="21"/>
  <c r="D20" i="21"/>
  <c r="C20" i="21"/>
  <c r="R19" i="21"/>
  <c r="E19" i="21"/>
  <c r="D19" i="21"/>
  <c r="C19" i="21"/>
  <c r="R18" i="21"/>
  <c r="E18" i="21"/>
  <c r="D18" i="21" s="1"/>
  <c r="C18" i="21" s="1"/>
  <c r="R17" i="21"/>
  <c r="E17" i="21"/>
  <c r="D17" i="21" s="1"/>
  <c r="C17" i="21"/>
  <c r="R16" i="21"/>
  <c r="E16" i="21"/>
  <c r="D16" i="21" s="1"/>
  <c r="C16" i="21"/>
  <c r="R15" i="21"/>
  <c r="E15" i="21"/>
  <c r="D15" i="21"/>
  <c r="C15" i="21" s="1"/>
  <c r="R14" i="21"/>
  <c r="E14" i="21"/>
  <c r="D14" i="21"/>
  <c r="C14" i="21" s="1"/>
  <c r="R13" i="21"/>
  <c r="R10" i="21" s="1"/>
  <c r="E13" i="21"/>
  <c r="D13" i="21"/>
  <c r="C13" i="21" s="1"/>
  <c r="A13" i="21"/>
  <c r="A14" i="21" s="1"/>
  <c r="A15" i="21" s="1"/>
  <c r="A16" i="21" s="1"/>
  <c r="A17" i="21" s="1"/>
  <c r="A18" i="21" s="1"/>
  <c r="A19" i="21" s="1"/>
  <c r="A20" i="21" s="1"/>
  <c r="R12" i="21"/>
  <c r="E12" i="21"/>
  <c r="D12" i="21"/>
  <c r="C12" i="21" s="1"/>
  <c r="A12" i="21"/>
  <c r="R11" i="21"/>
  <c r="C11" i="21" s="1"/>
  <c r="E11" i="21"/>
  <c r="D11" i="21"/>
  <c r="V10" i="21"/>
  <c r="U10" i="21"/>
  <c r="T10" i="21"/>
  <c r="S10" i="21"/>
  <c r="Q10" i="21"/>
  <c r="P10" i="21"/>
  <c r="O10" i="21"/>
  <c r="N10" i="21"/>
  <c r="M10" i="21"/>
  <c r="L10" i="21"/>
  <c r="K10" i="21"/>
  <c r="J10" i="21"/>
  <c r="I10" i="21"/>
  <c r="H10" i="21"/>
  <c r="G10" i="21"/>
  <c r="F10" i="21"/>
  <c r="E10" i="21"/>
  <c r="V9" i="21"/>
  <c r="U9" i="21"/>
  <c r="Q9" i="21"/>
  <c r="H9" i="21"/>
  <c r="I9" i="21" s="1"/>
  <c r="J9" i="21" s="1"/>
  <c r="K9" i="21" s="1"/>
  <c r="L9" i="21" s="1"/>
  <c r="M9" i="21" s="1"/>
  <c r="N9" i="21" s="1"/>
  <c r="O9" i="21" s="1"/>
  <c r="P9" i="21" s="1"/>
  <c r="G9" i="21"/>
  <c r="J20" i="17"/>
  <c r="D20" i="17"/>
  <c r="D19" i="17"/>
  <c r="J19" i="17" s="1"/>
  <c r="D18" i="17"/>
  <c r="J18" i="17" s="1"/>
  <c r="J17" i="17"/>
  <c r="D17" i="17"/>
  <c r="J16" i="17"/>
  <c r="D16" i="17"/>
  <c r="D15" i="17"/>
  <c r="J15" i="17" s="1"/>
  <c r="D14" i="17"/>
  <c r="J14" i="17" s="1"/>
  <c r="D13" i="17"/>
  <c r="J12" i="17"/>
  <c r="D12" i="17"/>
  <c r="J11" i="17"/>
  <c r="D11" i="17"/>
  <c r="I10" i="17"/>
  <c r="H10" i="17"/>
  <c r="G10" i="17"/>
  <c r="F10" i="17"/>
  <c r="E10" i="17"/>
  <c r="S10" i="28"/>
  <c r="P10" i="28"/>
  <c r="L10" i="28"/>
  <c r="I10" i="28"/>
  <c r="D107" i="8"/>
  <c r="V107" i="8" s="1"/>
  <c r="C107" i="8"/>
  <c r="D106" i="8"/>
  <c r="V106" i="8" s="1"/>
  <c r="C106" i="8"/>
  <c r="D105" i="8"/>
  <c r="V104" i="8"/>
  <c r="Q104" i="8"/>
  <c r="D104" i="8" s="1"/>
  <c r="C104" i="8"/>
  <c r="V103" i="8"/>
  <c r="D103" i="8"/>
  <c r="C103" i="8"/>
  <c r="D102" i="8"/>
  <c r="V102" i="8" s="1"/>
  <c r="C102" i="8"/>
  <c r="D101" i="8"/>
  <c r="D100" i="8"/>
  <c r="D99" i="8"/>
  <c r="D98" i="8"/>
  <c r="S97" i="8"/>
  <c r="R97" i="8"/>
  <c r="Q97" i="8"/>
  <c r="P97" i="8"/>
  <c r="O97" i="8"/>
  <c r="N97" i="8"/>
  <c r="M97" i="8"/>
  <c r="L97" i="8"/>
  <c r="K97" i="8"/>
  <c r="J97" i="8"/>
  <c r="I97" i="8"/>
  <c r="H97" i="8"/>
  <c r="G97" i="8"/>
  <c r="F97" i="8"/>
  <c r="E97" i="8"/>
  <c r="D96" i="8"/>
  <c r="C96" i="8" s="1"/>
  <c r="V95" i="8"/>
  <c r="Q95" i="8"/>
  <c r="D95" i="8" s="1"/>
  <c r="C95" i="8"/>
  <c r="D94" i="8"/>
  <c r="V94" i="8" s="1"/>
  <c r="C94" i="8"/>
  <c r="D93" i="8"/>
  <c r="C93" i="8" s="1"/>
  <c r="D92" i="8"/>
  <c r="V91" i="8"/>
  <c r="D91" i="8"/>
  <c r="C91" i="8" s="1"/>
  <c r="V90" i="8"/>
  <c r="D90" i="8"/>
  <c r="C90" i="8" s="1"/>
  <c r="V89" i="8"/>
  <c r="D89" i="8"/>
  <c r="C89" i="8"/>
  <c r="V88" i="8"/>
  <c r="D88" i="8"/>
  <c r="C88" i="8"/>
  <c r="V87" i="8"/>
  <c r="D87" i="8"/>
  <c r="C87" i="8"/>
  <c r="D86" i="8"/>
  <c r="C86" i="8" s="1"/>
  <c r="D85" i="8"/>
  <c r="C85" i="8"/>
  <c r="S84" i="8"/>
  <c r="D84" i="8" s="1"/>
  <c r="V84" i="8" s="1"/>
  <c r="Q84" i="8"/>
  <c r="C84" i="8"/>
  <c r="D83" i="8"/>
  <c r="V83" i="8" s="1"/>
  <c r="D82" i="8"/>
  <c r="V81" i="8"/>
  <c r="D81" i="8"/>
  <c r="C81" i="8" s="1"/>
  <c r="V80" i="8"/>
  <c r="D80" i="8"/>
  <c r="C80" i="8" s="1"/>
  <c r="V79" i="8"/>
  <c r="D79" i="8"/>
  <c r="C79" i="8"/>
  <c r="V78" i="8"/>
  <c r="D78" i="8"/>
  <c r="C78" i="8"/>
  <c r="V77" i="8"/>
  <c r="D77" i="8"/>
  <c r="C77" i="8"/>
  <c r="V76" i="8"/>
  <c r="D76" i="8"/>
  <c r="C76" i="8" s="1"/>
  <c r="V75" i="8"/>
  <c r="D75" i="8"/>
  <c r="C75" i="8"/>
  <c r="D74" i="8"/>
  <c r="C74" i="8" s="1"/>
  <c r="V73" i="8"/>
  <c r="D73" i="8"/>
  <c r="E75" i="7" s="1"/>
  <c r="D72" i="8"/>
  <c r="V71" i="8"/>
  <c r="D71" i="8"/>
  <c r="C71" i="8"/>
  <c r="D70" i="8"/>
  <c r="V69" i="8"/>
  <c r="D69" i="8"/>
  <c r="C69" i="8"/>
  <c r="V68" i="8"/>
  <c r="D68" i="8"/>
  <c r="C68" i="8"/>
  <c r="V67" i="8"/>
  <c r="D67" i="8"/>
  <c r="C67" i="8"/>
  <c r="D66" i="8"/>
  <c r="V66" i="8" s="1"/>
  <c r="C66" i="8"/>
  <c r="V65" i="8"/>
  <c r="D65" i="8"/>
  <c r="E67" i="7" s="1"/>
  <c r="C65" i="8"/>
  <c r="D64" i="8"/>
  <c r="V63" i="8"/>
  <c r="D63" i="8"/>
  <c r="C63" i="8" s="1"/>
  <c r="D62" i="8"/>
  <c r="V61" i="8"/>
  <c r="D61" i="8"/>
  <c r="C61" i="8"/>
  <c r="V60" i="8"/>
  <c r="D60" i="8"/>
  <c r="C60" i="8" s="1"/>
  <c r="V59" i="8"/>
  <c r="D59" i="8"/>
  <c r="C59" i="8"/>
  <c r="D58" i="8"/>
  <c r="C58" i="8" s="1"/>
  <c r="V57" i="8"/>
  <c r="D57" i="8"/>
  <c r="E59" i="7" s="1"/>
  <c r="D56" i="8"/>
  <c r="V55" i="8"/>
  <c r="D55" i="8"/>
  <c r="C55" i="8"/>
  <c r="D54" i="8"/>
  <c r="V53" i="8"/>
  <c r="D53" i="8"/>
  <c r="C53" i="8"/>
  <c r="V52" i="8"/>
  <c r="D52" i="8"/>
  <c r="C52" i="8"/>
  <c r="V51" i="8"/>
  <c r="D51" i="8"/>
  <c r="C51" i="8"/>
  <c r="D50" i="8"/>
  <c r="C50" i="8"/>
  <c r="S49" i="8"/>
  <c r="R49" i="8"/>
  <c r="R11" i="8" s="1"/>
  <c r="Q49" i="8"/>
  <c r="P49" i="8"/>
  <c r="O49" i="8"/>
  <c r="N49" i="8"/>
  <c r="M49" i="8"/>
  <c r="L49" i="8"/>
  <c r="K49" i="8"/>
  <c r="J49" i="8"/>
  <c r="J11" i="8" s="1"/>
  <c r="I49" i="8"/>
  <c r="H49" i="8"/>
  <c r="H11" i="8" s="1"/>
  <c r="H10" i="8" s="1"/>
  <c r="G49" i="8"/>
  <c r="F49" i="8"/>
  <c r="E49" i="8"/>
  <c r="E11" i="8" s="1"/>
  <c r="E10" i="8" s="1"/>
  <c r="C30" i="6" s="1"/>
  <c r="D49" i="8"/>
  <c r="V49" i="8" s="1"/>
  <c r="V48" i="8"/>
  <c r="D48" i="8"/>
  <c r="C48" i="8"/>
  <c r="D47" i="8"/>
  <c r="V47" i="8" s="1"/>
  <c r="D46" i="8"/>
  <c r="D45" i="8"/>
  <c r="D44" i="8"/>
  <c r="V44" i="8" s="1"/>
  <c r="D43" i="8"/>
  <c r="C43" i="8" s="1"/>
  <c r="V42" i="8"/>
  <c r="D42" i="8"/>
  <c r="C42" i="8"/>
  <c r="D41" i="8"/>
  <c r="V41" i="8" s="1"/>
  <c r="V40" i="8"/>
  <c r="D40" i="8"/>
  <c r="C40" i="8"/>
  <c r="D39" i="8"/>
  <c r="V39" i="8" s="1"/>
  <c r="C39" i="8"/>
  <c r="D38" i="8"/>
  <c r="V38" i="8" s="1"/>
  <c r="D37" i="8"/>
  <c r="D36" i="8"/>
  <c r="V35" i="8"/>
  <c r="Q35" i="8"/>
  <c r="D35" i="8" s="1"/>
  <c r="C35" i="8"/>
  <c r="D34" i="8"/>
  <c r="V34" i="8" s="1"/>
  <c r="D33" i="8"/>
  <c r="D32" i="8"/>
  <c r="D31" i="8"/>
  <c r="V31" i="8" s="1"/>
  <c r="S30" i="8"/>
  <c r="S11" i="8" s="1"/>
  <c r="S10" i="8" s="1"/>
  <c r="C42" i="6" s="1"/>
  <c r="R30" i="8"/>
  <c r="Q30" i="8"/>
  <c r="P30" i="8"/>
  <c r="O30" i="8"/>
  <c r="N30" i="8"/>
  <c r="N11" i="8" s="1"/>
  <c r="N10" i="8" s="1"/>
  <c r="C39" i="6" s="1"/>
  <c r="M30" i="8"/>
  <c r="M11" i="8" s="1"/>
  <c r="M10" i="8" s="1"/>
  <c r="C38" i="6" s="1"/>
  <c r="L30" i="8"/>
  <c r="K30" i="8"/>
  <c r="J30" i="8"/>
  <c r="I30" i="8"/>
  <c r="H30" i="8"/>
  <c r="G30" i="8"/>
  <c r="F30" i="8"/>
  <c r="E30" i="8"/>
  <c r="D29" i="8"/>
  <c r="D28" i="8"/>
  <c r="V28" i="8" s="1"/>
  <c r="V27" i="8"/>
  <c r="D27" i="8"/>
  <c r="C27" i="8" s="1"/>
  <c r="V26" i="8"/>
  <c r="D26" i="8"/>
  <c r="C26" i="8"/>
  <c r="D25" i="8"/>
  <c r="V25" i="8" s="1"/>
  <c r="V24" i="8"/>
  <c r="D24" i="8"/>
  <c r="C24" i="8"/>
  <c r="D23" i="8"/>
  <c r="V23" i="8" s="1"/>
  <c r="C23" i="8"/>
  <c r="I22" i="8"/>
  <c r="D22" i="8" s="1"/>
  <c r="V21" i="8"/>
  <c r="D21" i="8"/>
  <c r="C21" i="8"/>
  <c r="D20" i="8"/>
  <c r="V19" i="8"/>
  <c r="D19" i="8"/>
  <c r="C19" i="8"/>
  <c r="D18" i="8"/>
  <c r="V18" i="8" s="1"/>
  <c r="D17" i="8"/>
  <c r="D16" i="8"/>
  <c r="D15" i="8"/>
  <c r="V15" i="8" s="1"/>
  <c r="V14" i="8"/>
  <c r="O14" i="8"/>
  <c r="O12" i="8" s="1"/>
  <c r="O11" i="8" s="1"/>
  <c r="O10" i="8" s="1"/>
  <c r="D14" i="8"/>
  <c r="C14" i="8"/>
  <c r="P13" i="8"/>
  <c r="P12" i="8" s="1"/>
  <c r="D13" i="8"/>
  <c r="V13" i="8" s="1"/>
  <c r="C13" i="8"/>
  <c r="S12" i="8"/>
  <c r="R12" i="8"/>
  <c r="Q12" i="8"/>
  <c r="Q11" i="8" s="1"/>
  <c r="Q10" i="8" s="1"/>
  <c r="C40" i="6" s="1"/>
  <c r="N12" i="8"/>
  <c r="M12" i="8"/>
  <c r="L12" i="8"/>
  <c r="K12" i="8"/>
  <c r="J12" i="8"/>
  <c r="H12" i="8"/>
  <c r="G12" i="8"/>
  <c r="F12" i="8"/>
  <c r="E12" i="8"/>
  <c r="P11" i="8"/>
  <c r="P10" i="8" s="1"/>
  <c r="K11" i="8"/>
  <c r="K10" i="8" s="1"/>
  <c r="C36" i="6" s="1"/>
  <c r="G11" i="8"/>
  <c r="G10" i="8" s="1"/>
  <c r="C32" i="6" s="1"/>
  <c r="F11" i="8"/>
  <c r="F10" i="8" s="1"/>
  <c r="C31" i="6" s="1"/>
  <c r="R10" i="8"/>
  <c r="J10" i="8"/>
  <c r="I9" i="8"/>
  <c r="J9" i="8" s="1"/>
  <c r="K9" i="8" s="1"/>
  <c r="L9" i="8" s="1"/>
  <c r="M9" i="8" s="1"/>
  <c r="N9" i="8" s="1"/>
  <c r="O9" i="8" s="1"/>
  <c r="P9" i="8" s="1"/>
  <c r="Q9" i="8" s="1"/>
  <c r="R9" i="8" s="1"/>
  <c r="S9" i="8" s="1"/>
  <c r="F9" i="8"/>
  <c r="G9" i="8" s="1"/>
  <c r="H9" i="8" s="1"/>
  <c r="E9" i="8"/>
  <c r="C30" i="39"/>
  <c r="M29" i="39"/>
  <c r="C29" i="39" s="1"/>
  <c r="M28" i="39"/>
  <c r="C28" i="39"/>
  <c r="C27" i="39"/>
  <c r="C26" i="39"/>
  <c r="D103" i="7" s="1"/>
  <c r="C103" i="7" s="1"/>
  <c r="M25" i="39"/>
  <c r="C25" i="39"/>
  <c r="M24" i="39"/>
  <c r="C24" i="39" s="1"/>
  <c r="D100" i="7" s="1"/>
  <c r="C100" i="7" s="1"/>
  <c r="M23" i="39"/>
  <c r="C23" i="39"/>
  <c r="D99" i="7" s="1"/>
  <c r="C99" i="7" s="1"/>
  <c r="M22" i="39"/>
  <c r="C22" i="39"/>
  <c r="M21" i="39"/>
  <c r="C21" i="39"/>
  <c r="D34" i="7" s="1"/>
  <c r="M20" i="39"/>
  <c r="C20" i="39" s="1"/>
  <c r="D49" i="7" s="1"/>
  <c r="C49" i="7" s="1"/>
  <c r="C19" i="39"/>
  <c r="M18" i="39"/>
  <c r="C18" i="39" s="1"/>
  <c r="M17" i="39"/>
  <c r="C17" i="39" s="1"/>
  <c r="D97" i="7" s="1"/>
  <c r="I17" i="39"/>
  <c r="M16" i="39"/>
  <c r="C16" i="39" s="1"/>
  <c r="D23" i="7" s="1"/>
  <c r="M15" i="39"/>
  <c r="M11" i="39" s="1"/>
  <c r="M10" i="39" s="1"/>
  <c r="C15" i="39"/>
  <c r="M14" i="39"/>
  <c r="C14" i="39"/>
  <c r="C13" i="39"/>
  <c r="M12" i="39"/>
  <c r="C12" i="39"/>
  <c r="S11" i="39"/>
  <c r="S10" i="39" s="1"/>
  <c r="R11" i="39"/>
  <c r="Q11" i="39"/>
  <c r="Q10" i="39" s="1"/>
  <c r="P11" i="39"/>
  <c r="O11" i="39"/>
  <c r="O10" i="39" s="1"/>
  <c r="N11" i="39"/>
  <c r="L11" i="39"/>
  <c r="L10" i="39" s="1"/>
  <c r="C22" i="6" s="1"/>
  <c r="K11" i="39"/>
  <c r="J11" i="39"/>
  <c r="I11" i="39"/>
  <c r="I10" i="39" s="1"/>
  <c r="H11" i="39"/>
  <c r="G11" i="39"/>
  <c r="G10" i="39" s="1"/>
  <c r="F11" i="39"/>
  <c r="E11" i="39"/>
  <c r="D11" i="39"/>
  <c r="D10" i="39" s="1"/>
  <c r="C14" i="6" s="1"/>
  <c r="R10" i="39"/>
  <c r="P10" i="39"/>
  <c r="C24" i="6" s="1"/>
  <c r="N10" i="39"/>
  <c r="K10" i="39"/>
  <c r="J10" i="39"/>
  <c r="H10" i="39"/>
  <c r="F10" i="39"/>
  <c r="E10" i="39"/>
  <c r="E19" i="9" s="1"/>
  <c r="D19" i="9" s="1"/>
  <c r="F9" i="39"/>
  <c r="G9" i="39" s="1"/>
  <c r="H9" i="39" s="1"/>
  <c r="I9" i="39" s="1"/>
  <c r="J9" i="39" s="1"/>
  <c r="K9" i="39" s="1"/>
  <c r="L9" i="39" s="1"/>
  <c r="M9" i="39" s="1"/>
  <c r="N9" i="39" s="1"/>
  <c r="O9" i="39" s="1"/>
  <c r="P9" i="39" s="1"/>
  <c r="Q9" i="39" s="1"/>
  <c r="R9" i="39" s="1"/>
  <c r="S9" i="39" s="1"/>
  <c r="E9" i="39"/>
  <c r="D9" i="39"/>
  <c r="N123" i="7"/>
  <c r="M122" i="7"/>
  <c r="L122" i="7"/>
  <c r="K122" i="7" s="1"/>
  <c r="C121" i="7"/>
  <c r="I120" i="7"/>
  <c r="C120" i="7"/>
  <c r="C119" i="7"/>
  <c r="G118" i="7"/>
  <c r="C118" i="7"/>
  <c r="F117" i="7"/>
  <c r="C117" i="7" s="1"/>
  <c r="E116" i="7"/>
  <c r="C116" i="7" s="1"/>
  <c r="E115" i="7"/>
  <c r="C115" i="7"/>
  <c r="E113" i="7"/>
  <c r="C113" i="7" s="1"/>
  <c r="E112" i="7"/>
  <c r="C112" i="7" s="1"/>
  <c r="E111" i="7"/>
  <c r="C111" i="7" s="1"/>
  <c r="E105" i="7"/>
  <c r="C105" i="7" s="1"/>
  <c r="E104" i="7"/>
  <c r="C104" i="7" s="1"/>
  <c r="C102" i="7"/>
  <c r="D101" i="7"/>
  <c r="C101" i="7" s="1"/>
  <c r="D98" i="7"/>
  <c r="C98" i="7" s="1"/>
  <c r="E96" i="7"/>
  <c r="C96" i="7"/>
  <c r="E94" i="7"/>
  <c r="C94" i="7"/>
  <c r="E93" i="7"/>
  <c r="C93" i="7"/>
  <c r="E92" i="7"/>
  <c r="C92" i="7"/>
  <c r="E91" i="7"/>
  <c r="C91" i="7"/>
  <c r="E90" i="7"/>
  <c r="C90" i="7"/>
  <c r="E89" i="7"/>
  <c r="C89" i="7"/>
  <c r="E86" i="7"/>
  <c r="C86" i="7" s="1"/>
  <c r="E85" i="7"/>
  <c r="C85" i="7"/>
  <c r="E83" i="7"/>
  <c r="C83" i="7"/>
  <c r="E82" i="7"/>
  <c r="C82" i="7" s="1"/>
  <c r="E81" i="7"/>
  <c r="C81" i="7"/>
  <c r="E80" i="7"/>
  <c r="C80" i="7"/>
  <c r="E79" i="7"/>
  <c r="C79" i="7"/>
  <c r="E78" i="7"/>
  <c r="C78" i="7" s="1"/>
  <c r="E77" i="7"/>
  <c r="C77" i="7"/>
  <c r="C75" i="7"/>
  <c r="E74" i="7"/>
  <c r="C74" i="7" s="1"/>
  <c r="E73" i="7"/>
  <c r="C73" i="7" s="1"/>
  <c r="E71" i="7"/>
  <c r="C71" i="7"/>
  <c r="E70" i="7"/>
  <c r="C70" i="7"/>
  <c r="E69" i="7"/>
  <c r="C69" i="7"/>
  <c r="E68" i="7"/>
  <c r="C68" i="7"/>
  <c r="C67" i="7"/>
  <c r="E66" i="7"/>
  <c r="C66" i="7" s="1"/>
  <c r="E65" i="7"/>
  <c r="C65" i="7" s="1"/>
  <c r="E63" i="7"/>
  <c r="C63" i="7"/>
  <c r="E62" i="7"/>
  <c r="C62" i="7"/>
  <c r="E61" i="7"/>
  <c r="C61" i="7"/>
  <c r="C59" i="7"/>
  <c r="E58" i="7"/>
  <c r="C58" i="7" s="1"/>
  <c r="E57" i="7"/>
  <c r="C57" i="7"/>
  <c r="E55" i="7"/>
  <c r="C55" i="7"/>
  <c r="E54" i="7"/>
  <c r="C54" i="7" s="1"/>
  <c r="E53" i="7"/>
  <c r="C53" i="7"/>
  <c r="Q51" i="7"/>
  <c r="P51" i="7"/>
  <c r="P13" i="7" s="1"/>
  <c r="P12" i="7" s="1"/>
  <c r="O51" i="7"/>
  <c r="N51" i="7"/>
  <c r="M51" i="7"/>
  <c r="L51" i="7"/>
  <c r="K51" i="7"/>
  <c r="J51" i="7"/>
  <c r="I51" i="7"/>
  <c r="H51" i="7"/>
  <c r="G51" i="7"/>
  <c r="F51" i="7"/>
  <c r="F13" i="7" s="1"/>
  <c r="F12" i="7" s="1"/>
  <c r="F11" i="7" s="1"/>
  <c r="F10" i="7" s="1"/>
  <c r="E50" i="7"/>
  <c r="C50" i="7"/>
  <c r="E49" i="7"/>
  <c r="E48" i="7"/>
  <c r="C48" i="7" s="1"/>
  <c r="E46" i="7"/>
  <c r="C46" i="7"/>
  <c r="E45" i="7"/>
  <c r="C45" i="7"/>
  <c r="E44" i="7"/>
  <c r="C44" i="7"/>
  <c r="E43" i="7"/>
  <c r="C43" i="7" s="1"/>
  <c r="E42" i="7"/>
  <c r="C42" i="7"/>
  <c r="E41" i="7"/>
  <c r="C41" i="7"/>
  <c r="E39" i="7"/>
  <c r="C39" i="7" s="1"/>
  <c r="D38" i="7"/>
  <c r="E37" i="7"/>
  <c r="C37" i="7" s="1"/>
  <c r="E36" i="7"/>
  <c r="C36" i="7" s="1"/>
  <c r="E34" i="7"/>
  <c r="Q32" i="7"/>
  <c r="N32" i="7"/>
  <c r="M32" i="7"/>
  <c r="M13" i="7" s="1"/>
  <c r="L32" i="7"/>
  <c r="K32" i="7"/>
  <c r="I32" i="7"/>
  <c r="I13" i="7" s="1"/>
  <c r="H32" i="7"/>
  <c r="G32" i="7"/>
  <c r="F32" i="7"/>
  <c r="E30" i="7"/>
  <c r="C30" i="7"/>
  <c r="E29" i="7"/>
  <c r="D29" i="7"/>
  <c r="C29" i="7"/>
  <c r="E28" i="7"/>
  <c r="C28" i="7" s="1"/>
  <c r="E27" i="7"/>
  <c r="C27" i="7" s="1"/>
  <c r="E26" i="7"/>
  <c r="C26" i="7" s="1"/>
  <c r="E25" i="7"/>
  <c r="C25" i="7"/>
  <c r="E24" i="7"/>
  <c r="C24" i="7" s="1"/>
  <c r="E23" i="7"/>
  <c r="C23" i="7"/>
  <c r="D22" i="7"/>
  <c r="E21" i="7"/>
  <c r="C21" i="7" s="1"/>
  <c r="D21" i="7"/>
  <c r="E20" i="7"/>
  <c r="C20" i="7"/>
  <c r="D19" i="7"/>
  <c r="E18" i="7"/>
  <c r="C18" i="7" s="1"/>
  <c r="E17" i="7"/>
  <c r="C17" i="7" s="1"/>
  <c r="E16" i="7"/>
  <c r="E15" i="7"/>
  <c r="Q14" i="7"/>
  <c r="N14" i="7"/>
  <c r="M14" i="7"/>
  <c r="L14" i="7"/>
  <c r="K14" i="7"/>
  <c r="K13" i="7" s="1"/>
  <c r="K12" i="7" s="1"/>
  <c r="K11" i="7" s="1"/>
  <c r="K10" i="7" s="1"/>
  <c r="I14" i="7"/>
  <c r="H14" i="7"/>
  <c r="H13" i="7" s="1"/>
  <c r="H12" i="7" s="1"/>
  <c r="G14" i="7"/>
  <c r="G13" i="7" s="1"/>
  <c r="G12" i="7" s="1"/>
  <c r="G11" i="7" s="1"/>
  <c r="F14" i="7"/>
  <c r="Q13" i="7"/>
  <c r="O13" i="7"/>
  <c r="O12" i="7" s="1"/>
  <c r="O11" i="7" s="1"/>
  <c r="N13" i="7"/>
  <c r="N12" i="7" s="1"/>
  <c r="N11" i="7" s="1"/>
  <c r="J13" i="7"/>
  <c r="J12" i="7" s="1"/>
  <c r="J11" i="7" s="1"/>
  <c r="J10" i="7" s="1"/>
  <c r="Q12" i="7"/>
  <c r="Q11" i="7" s="1"/>
  <c r="M12" i="7"/>
  <c r="M11" i="7" s="1"/>
  <c r="M10" i="7" s="1"/>
  <c r="I12" i="7"/>
  <c r="I11" i="7" s="1"/>
  <c r="I10" i="7" s="1"/>
  <c r="P11" i="7"/>
  <c r="H11" i="7"/>
  <c r="H10" i="7" s="1"/>
  <c r="G10" i="7"/>
  <c r="J9" i="7"/>
  <c r="K9" i="7" s="1"/>
  <c r="L9" i="7" s="1"/>
  <c r="M9" i="7" s="1"/>
  <c r="N9" i="7" s="1"/>
  <c r="O9" i="7" s="1"/>
  <c r="P9" i="7" s="1"/>
  <c r="Q9" i="7" s="1"/>
  <c r="F9" i="7"/>
  <c r="G9" i="7" s="1"/>
  <c r="H9" i="7" s="1"/>
  <c r="I9" i="7" s="1"/>
  <c r="E9" i="7"/>
  <c r="D9" i="7"/>
  <c r="C41" i="6"/>
  <c r="C35" i="6"/>
  <c r="C33" i="6"/>
  <c r="C26" i="6"/>
  <c r="C25" i="6"/>
  <c r="C23" i="6"/>
  <c r="C21" i="6"/>
  <c r="C20" i="6"/>
  <c r="C19" i="6"/>
  <c r="C18" i="6"/>
  <c r="C17" i="6"/>
  <c r="C16" i="6"/>
  <c r="C15" i="6"/>
  <c r="D132" i="9"/>
  <c r="C132" i="9"/>
  <c r="D131" i="9"/>
  <c r="C131" i="9" s="1"/>
  <c r="D130" i="9"/>
  <c r="C130" i="9" s="1"/>
  <c r="D129" i="9"/>
  <c r="C129" i="9" s="1"/>
  <c r="D128" i="9"/>
  <c r="C128" i="9"/>
  <c r="D127" i="9"/>
  <c r="C127" i="9" s="1"/>
  <c r="D126" i="9"/>
  <c r="C126" i="9" s="1"/>
  <c r="D125" i="9"/>
  <c r="C125" i="9" s="1"/>
  <c r="D124" i="9"/>
  <c r="C124" i="9"/>
  <c r="D123" i="9"/>
  <c r="C123" i="9" s="1"/>
  <c r="D122" i="9"/>
  <c r="C122" i="9" s="1"/>
  <c r="D121" i="9"/>
  <c r="C121" i="9" s="1"/>
  <c r="D120" i="9"/>
  <c r="C120" i="9"/>
  <c r="D119" i="9"/>
  <c r="C119" i="9" s="1"/>
  <c r="D118" i="9"/>
  <c r="C118" i="9" s="1"/>
  <c r="D117" i="9"/>
  <c r="C117" i="9" s="1"/>
  <c r="D116" i="9"/>
  <c r="C116" i="9"/>
  <c r="D115" i="9"/>
  <c r="C115" i="9" s="1"/>
  <c r="D114" i="9"/>
  <c r="C114" i="9" s="1"/>
  <c r="D113" i="9"/>
  <c r="C113" i="9" s="1"/>
  <c r="D112" i="9"/>
  <c r="C112" i="9"/>
  <c r="D111" i="9"/>
  <c r="C111" i="9" s="1"/>
  <c r="D110" i="9"/>
  <c r="C110" i="9" s="1"/>
  <c r="D109" i="9"/>
  <c r="C109" i="9" s="1"/>
  <c r="D108" i="9"/>
  <c r="C108" i="9"/>
  <c r="D107" i="9"/>
  <c r="C107" i="9" s="1"/>
  <c r="D106" i="9"/>
  <c r="C106" i="9" s="1"/>
  <c r="D105" i="9"/>
  <c r="C105" i="9" s="1"/>
  <c r="G104" i="9"/>
  <c r="D104" i="9"/>
  <c r="C104" i="9"/>
  <c r="D103" i="9"/>
  <c r="C103" i="9"/>
  <c r="D102" i="9"/>
  <c r="C102" i="9"/>
  <c r="D101" i="9"/>
  <c r="C101" i="9" s="1"/>
  <c r="D100" i="9"/>
  <c r="C100" i="9"/>
  <c r="E99" i="9"/>
  <c r="D99" i="9"/>
  <c r="C99" i="9" s="1"/>
  <c r="G98" i="9"/>
  <c r="F98" i="9"/>
  <c r="E98" i="9"/>
  <c r="C98" i="9"/>
  <c r="D97" i="9"/>
  <c r="C97" i="9"/>
  <c r="D96" i="9"/>
  <c r="C96" i="9"/>
  <c r="D95" i="9"/>
  <c r="C95" i="9" s="1"/>
  <c r="D94" i="9"/>
  <c r="C94" i="9"/>
  <c r="D93" i="9"/>
  <c r="C93" i="9"/>
  <c r="D92" i="9"/>
  <c r="C92" i="9"/>
  <c r="D91" i="9"/>
  <c r="C91" i="9" s="1"/>
  <c r="D90" i="9"/>
  <c r="C90" i="9"/>
  <c r="D89" i="9"/>
  <c r="C89" i="9"/>
  <c r="D88" i="9"/>
  <c r="C88" i="9"/>
  <c r="D87" i="9"/>
  <c r="C87" i="9" s="1"/>
  <c r="D86" i="9"/>
  <c r="C86" i="9"/>
  <c r="D85" i="9"/>
  <c r="C85" i="9"/>
  <c r="E84" i="9"/>
  <c r="D84" i="9"/>
  <c r="G83" i="9"/>
  <c r="F83" i="9"/>
  <c r="E83" i="9"/>
  <c r="D82" i="9"/>
  <c r="C82" i="9"/>
  <c r="D81" i="9"/>
  <c r="C81" i="9" s="1"/>
  <c r="C80" i="9" s="1"/>
  <c r="G80" i="9"/>
  <c r="F80" i="9"/>
  <c r="E80" i="9"/>
  <c r="D80" i="9"/>
  <c r="D79" i="9"/>
  <c r="C79" i="9" s="1"/>
  <c r="D78" i="9"/>
  <c r="C78" i="9"/>
  <c r="D77" i="9"/>
  <c r="C77" i="9" s="1"/>
  <c r="D76" i="9"/>
  <c r="C76" i="9" s="1"/>
  <c r="E75" i="9"/>
  <c r="D75" i="9" s="1"/>
  <c r="C75" i="9" s="1"/>
  <c r="D74" i="9"/>
  <c r="C74" i="9"/>
  <c r="D73" i="9"/>
  <c r="C73" i="9"/>
  <c r="D72" i="9"/>
  <c r="C72" i="9"/>
  <c r="D71" i="9"/>
  <c r="C71" i="9" s="1"/>
  <c r="D70" i="9"/>
  <c r="C70" i="9"/>
  <c r="D69" i="9"/>
  <c r="C69" i="9"/>
  <c r="D68" i="9"/>
  <c r="C68" i="9"/>
  <c r="D67" i="9"/>
  <c r="C67" i="9" s="1"/>
  <c r="D66" i="9"/>
  <c r="C66" i="9"/>
  <c r="D65" i="9"/>
  <c r="C65" i="9"/>
  <c r="D64" i="9"/>
  <c r="C64" i="9"/>
  <c r="D63" i="9"/>
  <c r="C63" i="9" s="1"/>
  <c r="D62" i="9"/>
  <c r="C62" i="9"/>
  <c r="D61" i="9"/>
  <c r="C61" i="9"/>
  <c r="D60" i="9"/>
  <c r="C60" i="9"/>
  <c r="D59" i="9"/>
  <c r="C59" i="9" s="1"/>
  <c r="D58" i="9"/>
  <c r="D56" i="9" s="1"/>
  <c r="D55" i="9" s="1"/>
  <c r="C58" i="9"/>
  <c r="D57" i="9"/>
  <c r="C57" i="9"/>
  <c r="F56" i="9"/>
  <c r="E56" i="9"/>
  <c r="E55" i="9" s="1"/>
  <c r="F55" i="9"/>
  <c r="F54" i="9" s="1"/>
  <c r="F52" i="9" s="1"/>
  <c r="F48" i="9" s="1"/>
  <c r="E54" i="9"/>
  <c r="E52" i="9" s="1"/>
  <c r="C53" i="9"/>
  <c r="G52" i="9"/>
  <c r="D51" i="9"/>
  <c r="C51" i="9" s="1"/>
  <c r="D50" i="9"/>
  <c r="C50" i="9"/>
  <c r="C49" i="9" s="1"/>
  <c r="G49" i="9"/>
  <c r="G48" i="9" s="1"/>
  <c r="G43" i="9" s="1"/>
  <c r="F49" i="9"/>
  <c r="E49" i="9"/>
  <c r="O122" i="7" s="1"/>
  <c r="O10" i="7" s="1"/>
  <c r="D49" i="9"/>
  <c r="F44" i="9"/>
  <c r="D42" i="9"/>
  <c r="C42" i="9" s="1"/>
  <c r="D41" i="9"/>
  <c r="C41" i="9"/>
  <c r="D39" i="9"/>
  <c r="C39" i="9"/>
  <c r="D38" i="9"/>
  <c r="C38" i="9"/>
  <c r="D37" i="9"/>
  <c r="C37" i="9" s="1"/>
  <c r="G36" i="9"/>
  <c r="F36" i="9"/>
  <c r="D36" i="9" s="1"/>
  <c r="D35" i="9" s="1"/>
  <c r="F35" i="9"/>
  <c r="E35" i="9"/>
  <c r="D34" i="9"/>
  <c r="C34" i="9" s="1"/>
  <c r="D33" i="9"/>
  <c r="C33" i="9" s="1"/>
  <c r="D32" i="9"/>
  <c r="C32" i="9" s="1"/>
  <c r="D31" i="9"/>
  <c r="C31" i="9"/>
  <c r="A31" i="9"/>
  <c r="D30" i="9"/>
  <c r="C30" i="9"/>
  <c r="D28" i="9"/>
  <c r="C28" i="9"/>
  <c r="D24" i="9"/>
  <c r="C24" i="9" s="1"/>
  <c r="D23" i="9"/>
  <c r="D22" i="9"/>
  <c r="D21" i="9"/>
  <c r="C21" i="9"/>
  <c r="D20" i="9"/>
  <c r="C20" i="9"/>
  <c r="C19" i="9"/>
  <c r="E18" i="9"/>
  <c r="D18" i="9" s="1"/>
  <c r="C18" i="9" s="1"/>
  <c r="D17" i="9"/>
  <c r="C17" i="9"/>
  <c r="D16" i="9"/>
  <c r="C16" i="9" s="1"/>
  <c r="C15" i="9" s="1"/>
  <c r="G15" i="9"/>
  <c r="F15" i="9"/>
  <c r="E15" i="9"/>
  <c r="E14" i="9" s="1"/>
  <c r="E13" i="9" s="1"/>
  <c r="D15" i="9"/>
  <c r="D14" i="9" s="1"/>
  <c r="D13" i="9" s="1"/>
  <c r="G11" i="9"/>
  <c r="Y26" i="16"/>
  <c r="D26" i="16"/>
  <c r="Y25" i="16"/>
  <c r="D25" i="16"/>
  <c r="C25" i="16"/>
  <c r="Y24" i="16"/>
  <c r="D24" i="16"/>
  <c r="Y23" i="16"/>
  <c r="D23" i="16"/>
  <c r="C23" i="16"/>
  <c r="Y22" i="16"/>
  <c r="D22" i="16"/>
  <c r="C22" i="16" s="1"/>
  <c r="A22" i="16"/>
  <c r="A23" i="16" s="1"/>
  <c r="A24" i="16" s="1"/>
  <c r="A25" i="16" s="1"/>
  <c r="A26" i="16" s="1"/>
  <c r="Y21" i="16"/>
  <c r="D21" i="16"/>
  <c r="C21" i="16"/>
  <c r="Y20" i="16"/>
  <c r="D20" i="16"/>
  <c r="C20" i="16" s="1"/>
  <c r="Y19" i="16"/>
  <c r="C19" i="16" s="1"/>
  <c r="D19" i="16"/>
  <c r="Y18" i="16"/>
  <c r="D18" i="16"/>
  <c r="A18" i="16"/>
  <c r="A19" i="16" s="1"/>
  <c r="A20" i="16" s="1"/>
  <c r="A21" i="16" s="1"/>
  <c r="Y17" i="16"/>
  <c r="AE16" i="16"/>
  <c r="AD16" i="16"/>
  <c r="AC16" i="16"/>
  <c r="AB16" i="16"/>
  <c r="AA16" i="16"/>
  <c r="Z16" i="16"/>
  <c r="X16" i="16"/>
  <c r="V16" i="16"/>
  <c r="U16" i="16"/>
  <c r="T16" i="16"/>
  <c r="S16" i="16"/>
  <c r="R16" i="16"/>
  <c r="Q16" i="16"/>
  <c r="P16" i="16"/>
  <c r="O16" i="16"/>
  <c r="N16" i="16"/>
  <c r="M16" i="16"/>
  <c r="L16" i="16"/>
  <c r="K16" i="16"/>
  <c r="J16" i="16"/>
  <c r="I16" i="16"/>
  <c r="H16" i="16"/>
  <c r="G16" i="16"/>
  <c r="F16" i="16"/>
  <c r="E16" i="16"/>
  <c r="D15" i="16"/>
  <c r="E15" i="16" s="1"/>
  <c r="F15" i="16" s="1"/>
  <c r="G15" i="16" s="1"/>
  <c r="H15" i="16" s="1"/>
  <c r="I15" i="16" s="1"/>
  <c r="J15" i="16" s="1"/>
  <c r="K15" i="16" s="1"/>
  <c r="L15" i="16" s="1"/>
  <c r="M15" i="16" s="1"/>
  <c r="N15" i="16" s="1"/>
  <c r="O15" i="16" s="1"/>
  <c r="P15" i="16" s="1"/>
  <c r="Q15" i="16" s="1"/>
  <c r="R15" i="16" s="1"/>
  <c r="S15" i="16" s="1"/>
  <c r="T15" i="16" s="1"/>
  <c r="U15" i="16" s="1"/>
  <c r="V15" i="16" s="1"/>
  <c r="W15" i="16" s="1"/>
  <c r="X15" i="16" s="1"/>
  <c r="Y15" i="16" s="1"/>
  <c r="Z15" i="16" s="1"/>
  <c r="AA15" i="16" s="1"/>
  <c r="AB15" i="16" s="1"/>
  <c r="AC15" i="16" s="1"/>
  <c r="AD15" i="16" s="1"/>
  <c r="AE15" i="16" s="1"/>
  <c r="M23" i="15"/>
  <c r="H23" i="15"/>
  <c r="L23" i="15" s="1"/>
  <c r="C23" i="15"/>
  <c r="M22" i="15"/>
  <c r="H22" i="15"/>
  <c r="L22" i="15" s="1"/>
  <c r="C22" i="15"/>
  <c r="M21" i="15"/>
  <c r="H21" i="15"/>
  <c r="H13" i="15" s="1"/>
  <c r="C21" i="15"/>
  <c r="C13" i="15" s="1"/>
  <c r="M20" i="15"/>
  <c r="H20" i="15"/>
  <c r="C20" i="15"/>
  <c r="L20" i="15" s="1"/>
  <c r="M19" i="15"/>
  <c r="L19" i="15"/>
  <c r="H19" i="15"/>
  <c r="C19" i="15"/>
  <c r="M18" i="15"/>
  <c r="H18" i="15"/>
  <c r="C18" i="15"/>
  <c r="L18" i="15" s="1"/>
  <c r="O17" i="15"/>
  <c r="M17" i="15"/>
  <c r="H17" i="15"/>
  <c r="C14" i="17" s="1"/>
  <c r="C17" i="15"/>
  <c r="L17" i="15" s="1"/>
  <c r="M16" i="15"/>
  <c r="L16" i="15"/>
  <c r="H16" i="15"/>
  <c r="C16" i="15"/>
  <c r="M15" i="15"/>
  <c r="H15" i="15"/>
  <c r="C15" i="15"/>
  <c r="L15" i="15" s="1"/>
  <c r="A15" i="15"/>
  <c r="A16" i="15" s="1"/>
  <c r="A17" i="15" s="1"/>
  <c r="A18" i="15" s="1"/>
  <c r="A19" i="15" s="1"/>
  <c r="A20" i="15" s="1"/>
  <c r="A21" i="15" s="1"/>
  <c r="A22" i="15" s="1"/>
  <c r="A23" i="15" s="1"/>
  <c r="M14" i="15"/>
  <c r="L14" i="15"/>
  <c r="H14" i="15"/>
  <c r="C11" i="17" s="1"/>
  <c r="C10" i="17" s="1"/>
  <c r="C14" i="15"/>
  <c r="K13" i="15"/>
  <c r="O13" i="15" s="1"/>
  <c r="J13" i="15"/>
  <c r="I13" i="15"/>
  <c r="M13" i="15" s="1"/>
  <c r="G13" i="15"/>
  <c r="F13" i="15"/>
  <c r="E13" i="15"/>
  <c r="D13" i="15"/>
  <c r="E12" i="15"/>
  <c r="F12" i="15" s="1"/>
  <c r="D12" i="15"/>
  <c r="F39" i="32"/>
  <c r="A39" i="32"/>
  <c r="F38" i="32"/>
  <c r="F37" i="32"/>
  <c r="F36" i="32"/>
  <c r="A36" i="32"/>
  <c r="E31" i="32"/>
  <c r="C31" i="32"/>
  <c r="C30" i="32"/>
  <c r="E29" i="32"/>
  <c r="A29" i="32"/>
  <c r="A32" i="32" s="1"/>
  <c r="A33" i="32" s="1"/>
  <c r="G25" i="32"/>
  <c r="F25" i="32"/>
  <c r="A24" i="32"/>
  <c r="G23" i="32"/>
  <c r="C23" i="32"/>
  <c r="F23" i="32" s="1"/>
  <c r="F22" i="32"/>
  <c r="E22" i="32"/>
  <c r="G22" i="32" s="1"/>
  <c r="D22" i="32"/>
  <c r="E21" i="32"/>
  <c r="A21" i="32"/>
  <c r="A17" i="32"/>
  <c r="A18" i="32" s="1"/>
  <c r="F16" i="32"/>
  <c r="E15" i="32"/>
  <c r="E13" i="32"/>
  <c r="A12" i="32"/>
  <c r="E8" i="32"/>
  <c r="F8" i="32" s="1"/>
  <c r="G8" i="32" s="1"/>
  <c r="D8" i="32"/>
  <c r="E40" i="33"/>
  <c r="E39" i="33"/>
  <c r="D39" i="33"/>
  <c r="C39" i="33"/>
  <c r="E38" i="33"/>
  <c r="E37" i="33"/>
  <c r="E36" i="33"/>
  <c r="E35" i="33" s="1"/>
  <c r="D35" i="33"/>
  <c r="D7" i="33" s="1"/>
  <c r="C35" i="33"/>
  <c r="E34" i="33"/>
  <c r="E33" i="33"/>
  <c r="D33" i="33"/>
  <c r="C33" i="33"/>
  <c r="E32" i="33"/>
  <c r="E30" i="33"/>
  <c r="E29" i="33"/>
  <c r="E28" i="33"/>
  <c r="E27" i="33"/>
  <c r="E26" i="33"/>
  <c r="E25" i="33"/>
  <c r="E24" i="33"/>
  <c r="D23" i="33"/>
  <c r="C23" i="33"/>
  <c r="C20" i="33" s="1"/>
  <c r="E22" i="33"/>
  <c r="E21" i="33"/>
  <c r="D20" i="33"/>
  <c r="E18" i="33"/>
  <c r="A18" i="33"/>
  <c r="A19" i="33" s="1"/>
  <c r="A20" i="33" s="1"/>
  <c r="E17" i="33"/>
  <c r="E16" i="33"/>
  <c r="E15" i="33"/>
  <c r="D15" i="33"/>
  <c r="C15" i="33"/>
  <c r="E14" i="33"/>
  <c r="A14" i="33"/>
  <c r="A15" i="33" s="1"/>
  <c r="E13" i="33"/>
  <c r="A13" i="33"/>
  <c r="E12" i="33"/>
  <c r="E11" i="33"/>
  <c r="E10" i="33"/>
  <c r="D10" i="33"/>
  <c r="C10" i="33"/>
  <c r="C8" i="33" s="1"/>
  <c r="E9" i="33"/>
  <c r="E8" i="33" s="1"/>
  <c r="D8" i="33"/>
  <c r="L27" i="36"/>
  <c r="K27" i="36"/>
  <c r="G27" i="36"/>
  <c r="L26" i="36"/>
  <c r="K26" i="36"/>
  <c r="G26" i="36"/>
  <c r="L25" i="36"/>
  <c r="K25" i="36"/>
  <c r="G25" i="36"/>
  <c r="L24" i="36"/>
  <c r="K24" i="36"/>
  <c r="G24" i="36"/>
  <c r="L23" i="36"/>
  <c r="K23" i="36"/>
  <c r="G23" i="36"/>
  <c r="L22" i="36"/>
  <c r="K22" i="36"/>
  <c r="G22" i="36"/>
  <c r="L21" i="36"/>
  <c r="K21" i="36"/>
  <c r="G21" i="36"/>
  <c r="L20" i="36"/>
  <c r="K20" i="36"/>
  <c r="G20" i="36"/>
  <c r="L19" i="36"/>
  <c r="K19" i="36"/>
  <c r="G19" i="36"/>
  <c r="L18" i="36"/>
  <c r="K18" i="36"/>
  <c r="G18" i="36"/>
  <c r="L17" i="36"/>
  <c r="K17" i="36"/>
  <c r="G17" i="36"/>
  <c r="L16" i="36"/>
  <c r="K16" i="36"/>
  <c r="G16" i="36"/>
  <c r="L15" i="36"/>
  <c r="K15" i="36"/>
  <c r="G15" i="36"/>
  <c r="L14" i="36"/>
  <c r="K14" i="36"/>
  <c r="G14" i="36"/>
  <c r="G10" i="36" s="1"/>
  <c r="L13" i="36"/>
  <c r="K13" i="36"/>
  <c r="G13" i="36"/>
  <c r="L12" i="36"/>
  <c r="K12" i="36"/>
  <c r="G12" i="36"/>
  <c r="L11" i="36"/>
  <c r="K11" i="36"/>
  <c r="K10" i="36" s="1"/>
  <c r="G11" i="36"/>
  <c r="J10" i="36"/>
  <c r="I10" i="36"/>
  <c r="H10" i="36"/>
  <c r="F10" i="36"/>
  <c r="E10" i="36"/>
  <c r="D10" i="36"/>
  <c r="C10" i="36"/>
  <c r="I9" i="36"/>
  <c r="J9" i="36" s="1"/>
  <c r="D9" i="36"/>
  <c r="E9" i="36" s="1"/>
  <c r="F9" i="36" s="1"/>
  <c r="AW26" i="20"/>
  <c r="AU26" i="20"/>
  <c r="AP26" i="20"/>
  <c r="AO26" i="20"/>
  <c r="AN26" i="20"/>
  <c r="AL26" i="20"/>
  <c r="AJ26" i="20"/>
  <c r="AA26" i="20"/>
  <c r="AM26" i="20" s="1"/>
  <c r="S26" i="20"/>
  <c r="R26" i="20"/>
  <c r="AF26" i="20" s="1"/>
  <c r="M26" i="20"/>
  <c r="D26" i="20"/>
  <c r="AG26" i="20" s="1"/>
  <c r="C26" i="20"/>
  <c r="AW25" i="20"/>
  <c r="AU25" i="20"/>
  <c r="AO25" i="20"/>
  <c r="AN25" i="20"/>
  <c r="AM25" i="20"/>
  <c r="AL25" i="20"/>
  <c r="AJ25" i="20"/>
  <c r="AC25" i="20"/>
  <c r="AA25" i="20"/>
  <c r="U25" i="20"/>
  <c r="S25" i="20"/>
  <c r="AG25" i="20" s="1"/>
  <c r="R25" i="20"/>
  <c r="AF25" i="20" s="1"/>
  <c r="M25" i="20"/>
  <c r="D25" i="20"/>
  <c r="C25" i="20"/>
  <c r="AW24" i="20"/>
  <c r="AU24" i="20"/>
  <c r="AP24" i="20"/>
  <c r="AO24" i="20"/>
  <c r="AN24" i="20"/>
  <c r="AL24" i="20"/>
  <c r="AJ24" i="20"/>
  <c r="AH24" i="20"/>
  <c r="AC24" i="20"/>
  <c r="AA24" i="20" s="1"/>
  <c r="AM24" i="20" s="1"/>
  <c r="U24" i="20"/>
  <c r="S24" i="20"/>
  <c r="R24" i="20" s="1"/>
  <c r="AF24" i="20" s="1"/>
  <c r="M24" i="20"/>
  <c r="D24" i="20"/>
  <c r="C24" i="20"/>
  <c r="AW23" i="20"/>
  <c r="AU23" i="20"/>
  <c r="AP23" i="20"/>
  <c r="AO23" i="20"/>
  <c r="AN23" i="20"/>
  <c r="AL23" i="20"/>
  <c r="AJ23" i="20"/>
  <c r="AA23" i="20"/>
  <c r="AM23" i="20" s="1"/>
  <c r="S23" i="20"/>
  <c r="R23" i="20"/>
  <c r="AF23" i="20" s="1"/>
  <c r="M23" i="20"/>
  <c r="D23" i="20"/>
  <c r="AG23" i="20" s="1"/>
  <c r="C23" i="20"/>
  <c r="AW22" i="20"/>
  <c r="AU22" i="20"/>
  <c r="AO22" i="20"/>
  <c r="AN22" i="20"/>
  <c r="AL22" i="20"/>
  <c r="AJ22" i="20"/>
  <c r="AH22" i="20"/>
  <c r="AC22" i="20"/>
  <c r="AA22" i="20" s="1"/>
  <c r="AM22" i="20" s="1"/>
  <c r="U22" i="20"/>
  <c r="S22" i="20"/>
  <c r="M22" i="20"/>
  <c r="D22" i="20"/>
  <c r="C22" i="20" s="1"/>
  <c r="AW21" i="20"/>
  <c r="AU21" i="20"/>
  <c r="AP21" i="20"/>
  <c r="AO21" i="20"/>
  <c r="AN21" i="20"/>
  <c r="AL21" i="20"/>
  <c r="AJ21" i="20"/>
  <c r="AC21" i="20"/>
  <c r="AA21" i="20" s="1"/>
  <c r="AM21" i="20" s="1"/>
  <c r="U21" i="20"/>
  <c r="S21" i="20"/>
  <c r="M21" i="20"/>
  <c r="D21" i="20"/>
  <c r="C21" i="20"/>
  <c r="AW20" i="20"/>
  <c r="AU20" i="20"/>
  <c r="AP20" i="20"/>
  <c r="AO20" i="20"/>
  <c r="AN20" i="20"/>
  <c r="AL20" i="20"/>
  <c r="AJ20" i="20"/>
  <c r="AA20" i="20"/>
  <c r="AM20" i="20" s="1"/>
  <c r="S20" i="20"/>
  <c r="R20" i="20"/>
  <c r="M20" i="20"/>
  <c r="D20" i="20"/>
  <c r="AG20" i="20" s="1"/>
  <c r="C20" i="20"/>
  <c r="AW19" i="20"/>
  <c r="AU19" i="20"/>
  <c r="AO19" i="20"/>
  <c r="AN19" i="20"/>
  <c r="AL19" i="20"/>
  <c r="AJ19" i="20"/>
  <c r="AA19" i="20"/>
  <c r="U19" i="20"/>
  <c r="S19" i="20" s="1"/>
  <c r="M19" i="20"/>
  <c r="D19" i="20"/>
  <c r="A19" i="20"/>
  <c r="A20" i="20" s="1"/>
  <c r="A21" i="20" s="1"/>
  <c r="A22" i="20" s="1"/>
  <c r="A23" i="20" s="1"/>
  <c r="A24" i="20" s="1"/>
  <c r="A25" i="20" s="1"/>
  <c r="A26" i="20" s="1"/>
  <c r="AW18" i="20"/>
  <c r="AU18" i="20"/>
  <c r="AO18" i="20"/>
  <c r="AN18" i="20"/>
  <c r="AL18" i="20"/>
  <c r="AJ18" i="20"/>
  <c r="AC18" i="20"/>
  <c r="AA18" i="20"/>
  <c r="AM18" i="20" s="1"/>
  <c r="U18" i="20"/>
  <c r="M18" i="20"/>
  <c r="D18" i="20"/>
  <c r="C18" i="20"/>
  <c r="A18" i="20"/>
  <c r="AW17" i="20"/>
  <c r="AU17" i="20"/>
  <c r="AO17" i="20"/>
  <c r="AN17" i="20"/>
  <c r="AJ17" i="20"/>
  <c r="AH17" i="20"/>
  <c r="AG17" i="20"/>
  <c r="AC17" i="20"/>
  <c r="AC16" i="20" s="1"/>
  <c r="AA17" i="20"/>
  <c r="AM17" i="20" s="1"/>
  <c r="U17" i="20"/>
  <c r="S17" i="20"/>
  <c r="AP17" i="20" s="1"/>
  <c r="M17" i="20"/>
  <c r="C17" i="20" s="1"/>
  <c r="K17" i="20"/>
  <c r="AL17" i="20" s="1"/>
  <c r="E17" i="20"/>
  <c r="D17" i="20"/>
  <c r="AJ16" i="20"/>
  <c r="AE16" i="20"/>
  <c r="AO16" i="20" s="1"/>
  <c r="AD16" i="20"/>
  <c r="AN16" i="20" s="1"/>
  <c r="AB16" i="20"/>
  <c r="Z16" i="20"/>
  <c r="Y16" i="20"/>
  <c r="X16" i="20"/>
  <c r="W16" i="20"/>
  <c r="V16" i="20"/>
  <c r="AH16" i="20" s="1"/>
  <c r="T16" i="20"/>
  <c r="Q16" i="20"/>
  <c r="P16" i="20"/>
  <c r="O16" i="20"/>
  <c r="N16" i="20"/>
  <c r="L16" i="20"/>
  <c r="J16" i="20"/>
  <c r="I16" i="20"/>
  <c r="H16" i="20"/>
  <c r="G16" i="20"/>
  <c r="F16" i="20"/>
  <c r="E16" i="20"/>
  <c r="D16" i="20"/>
  <c r="Q15" i="20"/>
  <c r="R15" i="20" s="1"/>
  <c r="S15" i="20" s="1"/>
  <c r="V15" i="20" s="1"/>
  <c r="W15" i="20" s="1"/>
  <c r="X15" i="20" s="1"/>
  <c r="Y15" i="20" s="1"/>
  <c r="Z15" i="20" s="1"/>
  <c r="AA15" i="20" s="1"/>
  <c r="AD15" i="20" s="1"/>
  <c r="AE15" i="20" s="1"/>
  <c r="P15" i="20"/>
  <c r="H15" i="20"/>
  <c r="I15" i="20" s="1"/>
  <c r="J15" i="20" s="1"/>
  <c r="K15" i="20" s="1"/>
  <c r="D15" i="20"/>
  <c r="G15" i="20" s="1"/>
  <c r="C89" i="5"/>
  <c r="D88" i="5"/>
  <c r="C88" i="5"/>
  <c r="D87" i="5"/>
  <c r="C87" i="5"/>
  <c r="D86" i="5"/>
  <c r="C86" i="5" s="1"/>
  <c r="D85" i="5"/>
  <c r="C85" i="5"/>
  <c r="I84" i="5"/>
  <c r="T84" i="5" s="1"/>
  <c r="D83" i="5"/>
  <c r="D82" i="5"/>
  <c r="C82" i="5"/>
  <c r="D81" i="5"/>
  <c r="C81" i="5"/>
  <c r="D80" i="5"/>
  <c r="C80" i="5"/>
  <c r="D79" i="5"/>
  <c r="D78" i="5"/>
  <c r="C78" i="5"/>
  <c r="D77" i="5"/>
  <c r="C77" i="5"/>
  <c r="D76" i="5"/>
  <c r="C76" i="5"/>
  <c r="D75" i="5"/>
  <c r="D74" i="5"/>
  <c r="C74" i="5"/>
  <c r="D73" i="5"/>
  <c r="C73" i="5"/>
  <c r="D72" i="5"/>
  <c r="C72" i="5"/>
  <c r="D71" i="5"/>
  <c r="D70" i="5"/>
  <c r="C70" i="5"/>
  <c r="U69" i="5"/>
  <c r="T69" i="5"/>
  <c r="S69" i="5"/>
  <c r="R69" i="5"/>
  <c r="R49" i="5" s="1"/>
  <c r="Q69" i="5"/>
  <c r="P69" i="5"/>
  <c r="O69" i="5"/>
  <c r="N69" i="5"/>
  <c r="M69" i="5"/>
  <c r="L69" i="5"/>
  <c r="K69" i="5"/>
  <c r="J69" i="5"/>
  <c r="J49" i="5" s="1"/>
  <c r="I69" i="5"/>
  <c r="I49" i="5" s="1"/>
  <c r="H69" i="5"/>
  <c r="G69" i="5"/>
  <c r="F69" i="5"/>
  <c r="E69" i="5"/>
  <c r="D68" i="5"/>
  <c r="E79" i="3" s="1"/>
  <c r="C68" i="5"/>
  <c r="D67" i="5"/>
  <c r="C67" i="5"/>
  <c r="D66" i="5"/>
  <c r="C66" i="5" s="1"/>
  <c r="D65" i="5"/>
  <c r="C65" i="5" s="1"/>
  <c r="Q64" i="5"/>
  <c r="D64" i="5"/>
  <c r="D63" i="5"/>
  <c r="C63" i="5"/>
  <c r="Q62" i="5"/>
  <c r="D62" i="5"/>
  <c r="C62" i="5" s="1"/>
  <c r="D61" i="5"/>
  <c r="E72" i="3" s="1"/>
  <c r="C72" i="3" s="1"/>
  <c r="D60" i="5"/>
  <c r="C60" i="5" s="1"/>
  <c r="D59" i="5"/>
  <c r="C59" i="5" s="1"/>
  <c r="Q58" i="5"/>
  <c r="D58" i="5" s="1"/>
  <c r="C58" i="5" s="1"/>
  <c r="Q57" i="5"/>
  <c r="D57" i="5" s="1"/>
  <c r="C57" i="5" s="1"/>
  <c r="Q56" i="5"/>
  <c r="D56" i="5" s="1"/>
  <c r="C56" i="5" s="1"/>
  <c r="Q55" i="5"/>
  <c r="D55" i="5"/>
  <c r="C55" i="5"/>
  <c r="D54" i="5"/>
  <c r="C54" i="5" s="1"/>
  <c r="Q53" i="5"/>
  <c r="D53" i="5" s="1"/>
  <c r="C53" i="5" s="1"/>
  <c r="Q52" i="5"/>
  <c r="D52" i="5"/>
  <c r="C52" i="5" s="1"/>
  <c r="Q51" i="5"/>
  <c r="D51" i="5" s="1"/>
  <c r="C51" i="5" s="1"/>
  <c r="Q50" i="5"/>
  <c r="D50" i="5"/>
  <c r="C50" i="5" s="1"/>
  <c r="U49" i="5"/>
  <c r="T49" i="5"/>
  <c r="S49" i="5"/>
  <c r="P49" i="5"/>
  <c r="O49" i="5"/>
  <c r="N49" i="5"/>
  <c r="M49" i="5"/>
  <c r="L49" i="5"/>
  <c r="K49" i="5"/>
  <c r="H49" i="5"/>
  <c r="G49" i="5"/>
  <c r="F49" i="5"/>
  <c r="E49" i="5"/>
  <c r="D48" i="5"/>
  <c r="C48" i="5"/>
  <c r="D47" i="5"/>
  <c r="C47" i="5"/>
  <c r="D46" i="5"/>
  <c r="C46" i="5"/>
  <c r="U45" i="5"/>
  <c r="U30" i="5" s="1"/>
  <c r="T45" i="5"/>
  <c r="T30" i="5" s="1"/>
  <c r="T11" i="5" s="1"/>
  <c r="T10" i="5" s="1"/>
  <c r="T3" i="5" s="1"/>
  <c r="Q45" i="5"/>
  <c r="D45" i="5"/>
  <c r="C45" i="5" s="1"/>
  <c r="Q44" i="5"/>
  <c r="D44" i="5" s="1"/>
  <c r="Q43" i="5"/>
  <c r="D43" i="5" s="1"/>
  <c r="C43" i="5" s="1"/>
  <c r="Q42" i="5"/>
  <c r="D42" i="5" s="1"/>
  <c r="C42" i="5" s="1"/>
  <c r="Q41" i="5"/>
  <c r="N41" i="5"/>
  <c r="N30" i="5" s="1"/>
  <c r="D40" i="5"/>
  <c r="C40" i="5"/>
  <c r="T39" i="5"/>
  <c r="Q39" i="5"/>
  <c r="N39" i="5"/>
  <c r="D39" i="5"/>
  <c r="C39" i="5"/>
  <c r="Q38" i="5"/>
  <c r="D38" i="5" s="1"/>
  <c r="C38" i="5" s="1"/>
  <c r="D37" i="5"/>
  <c r="C37" i="5"/>
  <c r="Q36" i="5"/>
  <c r="D36" i="5"/>
  <c r="C36" i="5"/>
  <c r="Q35" i="5"/>
  <c r="D35" i="5" s="1"/>
  <c r="C35" i="5" s="1"/>
  <c r="K34" i="5"/>
  <c r="D34" i="5"/>
  <c r="C34" i="5" s="1"/>
  <c r="E33" i="5"/>
  <c r="E30" i="5" s="1"/>
  <c r="D33" i="5"/>
  <c r="E32" i="5"/>
  <c r="D32" i="5"/>
  <c r="C32" i="5" s="1"/>
  <c r="P31" i="5"/>
  <c r="P30" i="5" s="1"/>
  <c r="N31" i="5"/>
  <c r="D31" i="5"/>
  <c r="C31" i="5" s="1"/>
  <c r="S30" i="5"/>
  <c r="R30" i="5"/>
  <c r="O30" i="5"/>
  <c r="M30" i="5"/>
  <c r="L30" i="5"/>
  <c r="K30" i="5"/>
  <c r="J30" i="5"/>
  <c r="I30" i="5"/>
  <c r="H30" i="5"/>
  <c r="G30" i="5"/>
  <c r="F30" i="5"/>
  <c r="F11" i="5" s="1"/>
  <c r="Q29" i="5"/>
  <c r="D29" i="5" s="1"/>
  <c r="N29" i="5"/>
  <c r="C29" i="5"/>
  <c r="Q28" i="5"/>
  <c r="D28" i="5" s="1"/>
  <c r="C28" i="5" s="1"/>
  <c r="N28" i="5"/>
  <c r="U27" i="5"/>
  <c r="T27" i="5"/>
  <c r="Q27" i="5"/>
  <c r="J27" i="5"/>
  <c r="J12" i="5" s="1"/>
  <c r="J11" i="5" s="1"/>
  <c r="J10" i="5" s="1"/>
  <c r="U26" i="5"/>
  <c r="T26" i="5"/>
  <c r="Q26" i="5"/>
  <c r="N26" i="5"/>
  <c r="J26" i="5"/>
  <c r="D26" i="5"/>
  <c r="C26" i="5"/>
  <c r="Q25" i="5"/>
  <c r="D25" i="5" s="1"/>
  <c r="C25" i="5" s="1"/>
  <c r="Q24" i="5"/>
  <c r="D24" i="5" s="1"/>
  <c r="C24" i="5" s="1"/>
  <c r="J24" i="5"/>
  <c r="R23" i="5"/>
  <c r="R12" i="5" s="1"/>
  <c r="R11" i="5" s="1"/>
  <c r="Q23" i="5"/>
  <c r="U22" i="5"/>
  <c r="T22" i="5"/>
  <c r="R22" i="5"/>
  <c r="Q22" i="5"/>
  <c r="Q12" i="5" s="1"/>
  <c r="U21" i="5"/>
  <c r="T21" i="5"/>
  <c r="Q21" i="5"/>
  <c r="L21" i="5"/>
  <c r="J21" i="5"/>
  <c r="D21" i="5"/>
  <c r="C21" i="5"/>
  <c r="D20" i="5"/>
  <c r="C20" i="5" s="1"/>
  <c r="U19" i="5"/>
  <c r="T19" i="5"/>
  <c r="Q19" i="5"/>
  <c r="E19" i="5"/>
  <c r="D19" i="5"/>
  <c r="C19" i="5" s="1"/>
  <c r="U18" i="5"/>
  <c r="T18" i="5"/>
  <c r="D18" i="5"/>
  <c r="C18" i="5" s="1"/>
  <c r="Q17" i="5"/>
  <c r="N17" i="5"/>
  <c r="M17" i="5"/>
  <c r="M12" i="5" s="1"/>
  <c r="D17" i="5"/>
  <c r="C17" i="5" s="1"/>
  <c r="Q16" i="5"/>
  <c r="N16" i="5"/>
  <c r="D16" i="5" s="1"/>
  <c r="C16" i="5" s="1"/>
  <c r="D15" i="5"/>
  <c r="C15" i="5"/>
  <c r="U14" i="5"/>
  <c r="T14" i="5"/>
  <c r="T12" i="5" s="1"/>
  <c r="O14" i="5"/>
  <c r="D14" i="5"/>
  <c r="U13" i="5"/>
  <c r="Q13" i="5"/>
  <c r="N13" i="5"/>
  <c r="S12" i="5"/>
  <c r="O12" i="5"/>
  <c r="O11" i="5" s="1"/>
  <c r="O10" i="5" s="1"/>
  <c r="L12" i="5"/>
  <c r="K12" i="5"/>
  <c r="I12" i="5"/>
  <c r="I11" i="5" s="1"/>
  <c r="I10" i="5" s="1"/>
  <c r="H12" i="5"/>
  <c r="H11" i="5" s="1"/>
  <c r="H10" i="5" s="1"/>
  <c r="G12" i="5"/>
  <c r="G11" i="5" s="1"/>
  <c r="F12" i="5"/>
  <c r="E12" i="5"/>
  <c r="S11" i="5"/>
  <c r="S10" i="5" s="1"/>
  <c r="L11" i="5"/>
  <c r="L10" i="5" s="1"/>
  <c r="K11" i="5"/>
  <c r="K10" i="5" s="1"/>
  <c r="F10" i="5"/>
  <c r="I9" i="5"/>
  <c r="J9" i="5" s="1"/>
  <c r="K9" i="5" s="1"/>
  <c r="L9" i="5" s="1"/>
  <c r="M9" i="5" s="1"/>
  <c r="N9" i="5" s="1"/>
  <c r="O9" i="5" s="1"/>
  <c r="P9" i="5" s="1"/>
  <c r="Q9" i="5" s="1"/>
  <c r="R9" i="5" s="1"/>
  <c r="S9" i="5" s="1"/>
  <c r="T9" i="5" s="1"/>
  <c r="U9" i="5" s="1"/>
  <c r="F9" i="5"/>
  <c r="G9" i="5" s="1"/>
  <c r="H9" i="5" s="1"/>
  <c r="E9" i="5"/>
  <c r="M52" i="25"/>
  <c r="C52" i="25"/>
  <c r="M51" i="25"/>
  <c r="C51" i="25" s="1"/>
  <c r="M50" i="25"/>
  <c r="C50" i="25"/>
  <c r="M49" i="25"/>
  <c r="C49" i="25"/>
  <c r="M48" i="25"/>
  <c r="C48" i="25"/>
  <c r="M47" i="25"/>
  <c r="C47" i="25" s="1"/>
  <c r="M46" i="25"/>
  <c r="C46" i="25"/>
  <c r="M45" i="25"/>
  <c r="C45" i="25"/>
  <c r="M44" i="25"/>
  <c r="C44" i="25"/>
  <c r="M43" i="25"/>
  <c r="C43" i="25" s="1"/>
  <c r="M42" i="25"/>
  <c r="C42" i="25"/>
  <c r="M41" i="25"/>
  <c r="C41" i="25"/>
  <c r="M40" i="25"/>
  <c r="C40" i="25"/>
  <c r="M39" i="25"/>
  <c r="C39" i="25" s="1"/>
  <c r="M38" i="25"/>
  <c r="C38" i="25"/>
  <c r="M37" i="25"/>
  <c r="C37" i="25"/>
  <c r="M36" i="25"/>
  <c r="C36" i="25"/>
  <c r="D36" i="3" s="1"/>
  <c r="M35" i="25"/>
  <c r="C35" i="25" s="1"/>
  <c r="M34" i="25"/>
  <c r="C34" i="25"/>
  <c r="M33" i="25"/>
  <c r="C33" i="25"/>
  <c r="M32" i="25"/>
  <c r="C32" i="25"/>
  <c r="M31" i="25"/>
  <c r="C31" i="25" s="1"/>
  <c r="D54" i="3" s="1"/>
  <c r="C54" i="3" s="1"/>
  <c r="M30" i="25"/>
  <c r="C30" i="25"/>
  <c r="M29" i="25"/>
  <c r="C29" i="25"/>
  <c r="M28" i="25"/>
  <c r="C28" i="25"/>
  <c r="M27" i="25"/>
  <c r="C27" i="25" s="1"/>
  <c r="M26" i="25"/>
  <c r="C26" i="25"/>
  <c r="M25" i="25"/>
  <c r="C25" i="25"/>
  <c r="M24" i="25"/>
  <c r="C24" i="25"/>
  <c r="M23" i="25"/>
  <c r="C23" i="25" s="1"/>
  <c r="M22" i="25"/>
  <c r="C22" i="25"/>
  <c r="M21" i="25"/>
  <c r="C21" i="25"/>
  <c r="M20" i="25"/>
  <c r="C20" i="25"/>
  <c r="M19" i="25"/>
  <c r="C19" i="25" s="1"/>
  <c r="M18" i="25"/>
  <c r="C18" i="25"/>
  <c r="M17" i="25"/>
  <c r="C17" i="25"/>
  <c r="M16" i="25"/>
  <c r="C16" i="25"/>
  <c r="M15" i="25"/>
  <c r="C15" i="25" s="1"/>
  <c r="M14" i="25"/>
  <c r="C14" i="25"/>
  <c r="M13" i="25"/>
  <c r="C13" i="25"/>
  <c r="M12" i="25"/>
  <c r="C12" i="25"/>
  <c r="M11" i="25"/>
  <c r="C11" i="25" s="1"/>
  <c r="R10" i="25"/>
  <c r="Q10" i="25"/>
  <c r="P10" i="25"/>
  <c r="O10" i="25"/>
  <c r="N10" i="25"/>
  <c r="L10" i="25"/>
  <c r="K10" i="25"/>
  <c r="J10" i="25"/>
  <c r="I10" i="25"/>
  <c r="H10" i="25"/>
  <c r="G10" i="25"/>
  <c r="F10" i="25"/>
  <c r="E10" i="25"/>
  <c r="D10" i="25"/>
  <c r="E9" i="25"/>
  <c r="F9" i="25" s="1"/>
  <c r="G9" i="25" s="1"/>
  <c r="H9" i="25" s="1"/>
  <c r="I9" i="25" s="1"/>
  <c r="J9" i="25" s="1"/>
  <c r="K9" i="25" s="1"/>
  <c r="L9" i="25" s="1"/>
  <c r="M9" i="25" s="1"/>
  <c r="N9" i="25" s="1"/>
  <c r="O9" i="25" s="1"/>
  <c r="P9" i="25" s="1"/>
  <c r="Q9" i="25" s="1"/>
  <c r="R9" i="25" s="1"/>
  <c r="D9" i="25"/>
  <c r="Q106" i="3"/>
  <c r="P106" i="3"/>
  <c r="N106" i="3"/>
  <c r="C106" i="3" s="1"/>
  <c r="L105" i="3"/>
  <c r="K105" i="3"/>
  <c r="J104" i="3"/>
  <c r="C104" i="3"/>
  <c r="I103" i="3"/>
  <c r="C103" i="3"/>
  <c r="C102" i="3"/>
  <c r="C101" i="3"/>
  <c r="C100" i="3"/>
  <c r="E99" i="3"/>
  <c r="C99" i="3" s="1"/>
  <c r="E98" i="3"/>
  <c r="C98" i="3" s="1"/>
  <c r="E97" i="3"/>
  <c r="C97" i="3" s="1"/>
  <c r="P96" i="3"/>
  <c r="N96" i="3" s="1"/>
  <c r="K96" i="3"/>
  <c r="N95" i="3"/>
  <c r="K95" i="3"/>
  <c r="N94" i="3"/>
  <c r="K94" i="3"/>
  <c r="E94" i="3"/>
  <c r="C94" i="3"/>
  <c r="N93" i="3"/>
  <c r="K93" i="3"/>
  <c r="E93" i="3"/>
  <c r="C93" i="3"/>
  <c r="N92" i="3"/>
  <c r="K92" i="3"/>
  <c r="E92" i="3"/>
  <c r="C92" i="3"/>
  <c r="N91" i="3"/>
  <c r="K91" i="3"/>
  <c r="E91" i="3"/>
  <c r="C91" i="3"/>
  <c r="N90" i="3"/>
  <c r="K90" i="3"/>
  <c r="N89" i="3"/>
  <c r="K89" i="3"/>
  <c r="E89" i="3"/>
  <c r="C89" i="3"/>
  <c r="N88" i="3"/>
  <c r="K88" i="3"/>
  <c r="C88" i="3" s="1"/>
  <c r="E88" i="3"/>
  <c r="N87" i="3"/>
  <c r="K87" i="3"/>
  <c r="E87" i="3"/>
  <c r="C87" i="3"/>
  <c r="N86" i="3"/>
  <c r="K86" i="3"/>
  <c r="N85" i="3"/>
  <c r="K85" i="3"/>
  <c r="C85" i="3" s="1"/>
  <c r="E85" i="3"/>
  <c r="N84" i="3"/>
  <c r="K84" i="3"/>
  <c r="C84" i="3" s="1"/>
  <c r="E84" i="3"/>
  <c r="N83" i="3"/>
  <c r="K83" i="3"/>
  <c r="C83" i="3" s="1"/>
  <c r="E83" i="3"/>
  <c r="N82" i="3"/>
  <c r="K82" i="3"/>
  <c r="N81" i="3"/>
  <c r="K81" i="3"/>
  <c r="E81" i="3"/>
  <c r="C81" i="3"/>
  <c r="N80" i="3"/>
  <c r="K80" i="3"/>
  <c r="K60" i="3" s="1"/>
  <c r="N79" i="3"/>
  <c r="K79" i="3"/>
  <c r="C79" i="3" s="1"/>
  <c r="N78" i="3"/>
  <c r="K78" i="3"/>
  <c r="E78" i="3"/>
  <c r="N77" i="3"/>
  <c r="K77" i="3"/>
  <c r="C77" i="3" s="1"/>
  <c r="E77" i="3"/>
  <c r="N76" i="3"/>
  <c r="C76" i="3" s="1"/>
  <c r="K76" i="3"/>
  <c r="E76" i="3"/>
  <c r="N75" i="3"/>
  <c r="M75" i="3"/>
  <c r="K75" i="3" s="1"/>
  <c r="P74" i="3"/>
  <c r="K74" i="3"/>
  <c r="E74" i="3"/>
  <c r="N73" i="3"/>
  <c r="K73" i="3"/>
  <c r="E73" i="3"/>
  <c r="C73" i="3" s="1"/>
  <c r="N72" i="3"/>
  <c r="K72" i="3"/>
  <c r="N71" i="3"/>
  <c r="K71" i="3"/>
  <c r="E71" i="3"/>
  <c r="C71" i="3" s="1"/>
  <c r="N70" i="3"/>
  <c r="K70" i="3"/>
  <c r="E70" i="3"/>
  <c r="C70" i="3"/>
  <c r="N69" i="3"/>
  <c r="K69" i="3"/>
  <c r="E69" i="3"/>
  <c r="C69" i="3" s="1"/>
  <c r="N68" i="3"/>
  <c r="K68" i="3"/>
  <c r="E68" i="3"/>
  <c r="C68" i="3"/>
  <c r="N67" i="3"/>
  <c r="K67" i="3"/>
  <c r="E67" i="3"/>
  <c r="C67" i="3" s="1"/>
  <c r="N66" i="3"/>
  <c r="K66" i="3"/>
  <c r="E66" i="3"/>
  <c r="C66" i="3"/>
  <c r="N65" i="3"/>
  <c r="K65" i="3"/>
  <c r="E65" i="3"/>
  <c r="C65" i="3" s="1"/>
  <c r="N64" i="3"/>
  <c r="K64" i="3"/>
  <c r="E64" i="3"/>
  <c r="C64" i="3"/>
  <c r="N63" i="3"/>
  <c r="K63" i="3"/>
  <c r="E63" i="3"/>
  <c r="C63" i="3" s="1"/>
  <c r="N62" i="3"/>
  <c r="K62" i="3"/>
  <c r="N61" i="3"/>
  <c r="K61" i="3"/>
  <c r="E61" i="3"/>
  <c r="C61" i="3" s="1"/>
  <c r="Q60" i="3"/>
  <c r="O60" i="3"/>
  <c r="L60" i="3"/>
  <c r="J60" i="3"/>
  <c r="I60" i="3"/>
  <c r="I13" i="3" s="1"/>
  <c r="I12" i="3" s="1"/>
  <c r="I11" i="3" s="1"/>
  <c r="H60" i="3"/>
  <c r="G60" i="3"/>
  <c r="F60" i="3"/>
  <c r="D60" i="3"/>
  <c r="K59" i="3"/>
  <c r="D58" i="3"/>
  <c r="C58" i="3" s="1"/>
  <c r="K57" i="3"/>
  <c r="D57" i="3"/>
  <c r="C57" i="3" s="1"/>
  <c r="K56" i="3"/>
  <c r="D56" i="3"/>
  <c r="K55" i="3"/>
  <c r="D55" i="3"/>
  <c r="C55" i="3"/>
  <c r="K54" i="3"/>
  <c r="K53" i="3"/>
  <c r="D53" i="3"/>
  <c r="C53" i="3"/>
  <c r="K52" i="3"/>
  <c r="D52" i="3"/>
  <c r="C52" i="3" s="1"/>
  <c r="K51" i="3"/>
  <c r="D51" i="3"/>
  <c r="C51" i="3" s="1"/>
  <c r="N50" i="3"/>
  <c r="M50" i="3"/>
  <c r="K50" i="3" s="1"/>
  <c r="E50" i="3"/>
  <c r="C50" i="3" s="1"/>
  <c r="N49" i="3"/>
  <c r="M49" i="3"/>
  <c r="K49" i="3" s="1"/>
  <c r="E49" i="3"/>
  <c r="D49" i="3"/>
  <c r="N48" i="3"/>
  <c r="M48" i="3"/>
  <c r="K48" i="3" s="1"/>
  <c r="E48" i="3"/>
  <c r="P47" i="3"/>
  <c r="N47" i="3"/>
  <c r="M47" i="3"/>
  <c r="K47" i="3"/>
  <c r="E47" i="3"/>
  <c r="C47" i="3" s="1"/>
  <c r="P46" i="3"/>
  <c r="N46" i="3" s="1"/>
  <c r="M46" i="3"/>
  <c r="K46" i="3"/>
  <c r="P45" i="3"/>
  <c r="N45" i="3" s="1"/>
  <c r="M45" i="3"/>
  <c r="K45" i="3" s="1"/>
  <c r="E45" i="3"/>
  <c r="P44" i="3"/>
  <c r="N44" i="3"/>
  <c r="M44" i="3"/>
  <c r="K44" i="3" s="1"/>
  <c r="E44" i="3"/>
  <c r="C44" i="3" s="1"/>
  <c r="P43" i="3"/>
  <c r="N43" i="3"/>
  <c r="M43" i="3"/>
  <c r="K43" i="3"/>
  <c r="D43" i="3"/>
  <c r="P42" i="3"/>
  <c r="N42" i="3" s="1"/>
  <c r="M42" i="3"/>
  <c r="K42" i="3" s="1"/>
  <c r="E42" i="3"/>
  <c r="P41" i="3"/>
  <c r="N41" i="3"/>
  <c r="M41" i="3"/>
  <c r="K41" i="3" s="1"/>
  <c r="C41" i="3" s="1"/>
  <c r="E41" i="3"/>
  <c r="D41" i="3"/>
  <c r="P40" i="3"/>
  <c r="N40" i="3" s="1"/>
  <c r="M40" i="3"/>
  <c r="K40" i="3" s="1"/>
  <c r="C40" i="3" s="1"/>
  <c r="E40" i="3"/>
  <c r="P39" i="3"/>
  <c r="N39" i="3"/>
  <c r="M39" i="3"/>
  <c r="K39" i="3" s="1"/>
  <c r="E39" i="3"/>
  <c r="P38" i="3"/>
  <c r="N38" i="3"/>
  <c r="M38" i="3"/>
  <c r="K38" i="3"/>
  <c r="E38" i="3"/>
  <c r="D38" i="3"/>
  <c r="C38" i="3"/>
  <c r="P37" i="3"/>
  <c r="N37" i="3" s="1"/>
  <c r="M37" i="3"/>
  <c r="K37" i="3" s="1"/>
  <c r="E37" i="3"/>
  <c r="D37" i="3"/>
  <c r="C37" i="3" s="1"/>
  <c r="P36" i="3"/>
  <c r="N36" i="3" s="1"/>
  <c r="M36" i="3"/>
  <c r="K36" i="3"/>
  <c r="E36" i="3"/>
  <c r="P35" i="3"/>
  <c r="N35" i="3"/>
  <c r="M35" i="3"/>
  <c r="K35" i="3" s="1"/>
  <c r="P34" i="3"/>
  <c r="M34" i="3"/>
  <c r="K34" i="3"/>
  <c r="E34" i="3"/>
  <c r="D34" i="3"/>
  <c r="P33" i="3"/>
  <c r="N33" i="3"/>
  <c r="M33" i="3"/>
  <c r="K33" i="3" s="1"/>
  <c r="E33" i="3"/>
  <c r="Q32" i="3"/>
  <c r="O32" i="3"/>
  <c r="L32" i="3"/>
  <c r="K32" i="3"/>
  <c r="J32" i="3"/>
  <c r="J13" i="3" s="1"/>
  <c r="J12" i="3" s="1"/>
  <c r="I32" i="3"/>
  <c r="H32" i="3"/>
  <c r="G32" i="3"/>
  <c r="F32" i="3"/>
  <c r="F13" i="3" s="1"/>
  <c r="F12" i="3" s="1"/>
  <c r="F11" i="3" s="1"/>
  <c r="F10" i="3" s="1"/>
  <c r="P31" i="3"/>
  <c r="N31" i="3" s="1"/>
  <c r="M31" i="3"/>
  <c r="K31" i="3" s="1"/>
  <c r="E31" i="3"/>
  <c r="D31" i="3"/>
  <c r="P30" i="3"/>
  <c r="N30" i="3" s="1"/>
  <c r="M30" i="3"/>
  <c r="K30" i="3"/>
  <c r="E30" i="3"/>
  <c r="D30" i="3"/>
  <c r="C30" i="3" s="1"/>
  <c r="P29" i="3"/>
  <c r="N29" i="3"/>
  <c r="M29" i="3"/>
  <c r="K29" i="3" s="1"/>
  <c r="P28" i="3"/>
  <c r="N28" i="3" s="1"/>
  <c r="M28" i="3"/>
  <c r="K28" i="3"/>
  <c r="E28" i="3"/>
  <c r="C28" i="3" s="1"/>
  <c r="P27" i="3"/>
  <c r="N27" i="3" s="1"/>
  <c r="M27" i="3"/>
  <c r="K27" i="3" s="1"/>
  <c r="C27" i="3" s="1"/>
  <c r="E27" i="3"/>
  <c r="P26" i="3"/>
  <c r="N26" i="3" s="1"/>
  <c r="M26" i="3"/>
  <c r="K26" i="3" s="1"/>
  <c r="E26" i="3"/>
  <c r="D26" i="3"/>
  <c r="C26" i="3" s="1"/>
  <c r="P25" i="3"/>
  <c r="N25" i="3" s="1"/>
  <c r="M25" i="3"/>
  <c r="K25" i="3"/>
  <c r="P24" i="3"/>
  <c r="N24" i="3" s="1"/>
  <c r="M24" i="3"/>
  <c r="K24" i="3" s="1"/>
  <c r="D24" i="3"/>
  <c r="P23" i="3"/>
  <c r="N23" i="3" s="1"/>
  <c r="M23" i="3"/>
  <c r="K23" i="3"/>
  <c r="C23" i="3" s="1"/>
  <c r="E23" i="3"/>
  <c r="D23" i="3"/>
  <c r="P22" i="3"/>
  <c r="N22" i="3"/>
  <c r="M22" i="3"/>
  <c r="K22" i="3" s="1"/>
  <c r="E22" i="3"/>
  <c r="D22" i="3"/>
  <c r="C22" i="3" s="1"/>
  <c r="P21" i="3"/>
  <c r="N21" i="3" s="1"/>
  <c r="M21" i="3"/>
  <c r="K21" i="3" s="1"/>
  <c r="E21" i="3"/>
  <c r="D21" i="3"/>
  <c r="P20" i="3"/>
  <c r="N20" i="3"/>
  <c r="M20" i="3"/>
  <c r="K20" i="3"/>
  <c r="E20" i="3"/>
  <c r="C20" i="3" s="1"/>
  <c r="P19" i="3"/>
  <c r="N19" i="3" s="1"/>
  <c r="K19" i="3"/>
  <c r="E19" i="3"/>
  <c r="P18" i="3"/>
  <c r="N18" i="3" s="1"/>
  <c r="K18" i="3"/>
  <c r="E18" i="3"/>
  <c r="P17" i="3"/>
  <c r="N17" i="3"/>
  <c r="K17" i="3"/>
  <c r="E17" i="3"/>
  <c r="C17" i="3" s="1"/>
  <c r="P16" i="3"/>
  <c r="N16" i="3"/>
  <c r="E16" i="3"/>
  <c r="D16" i="3"/>
  <c r="P15" i="3"/>
  <c r="N15" i="3" s="1"/>
  <c r="M15" i="3"/>
  <c r="D15" i="3"/>
  <c r="D14" i="3" s="1"/>
  <c r="Q14" i="3"/>
  <c r="O14" i="3"/>
  <c r="L14" i="3"/>
  <c r="I14" i="3"/>
  <c r="H14" i="3"/>
  <c r="H13" i="3" s="1"/>
  <c r="H12" i="3" s="1"/>
  <c r="H11" i="3" s="1"/>
  <c r="H10" i="3" s="1"/>
  <c r="G14" i="3"/>
  <c r="F14" i="3"/>
  <c r="O13" i="3"/>
  <c r="O12" i="3" s="1"/>
  <c r="O11" i="3" s="1"/>
  <c r="L13" i="3"/>
  <c r="L12" i="3" s="1"/>
  <c r="L11" i="3" s="1"/>
  <c r="L10" i="3" s="1"/>
  <c r="G13" i="3"/>
  <c r="G12" i="3" s="1"/>
  <c r="G11" i="3" s="1"/>
  <c r="G10" i="3" s="1"/>
  <c r="J11" i="3"/>
  <c r="J10" i="3" s="1"/>
  <c r="I10" i="3"/>
  <c r="H9" i="3"/>
  <c r="I9" i="3" s="1"/>
  <c r="J9" i="3" s="1"/>
  <c r="K9" i="3" s="1"/>
  <c r="L9" i="3" s="1"/>
  <c r="M9" i="3" s="1"/>
  <c r="N9" i="3" s="1"/>
  <c r="O9" i="3" s="1"/>
  <c r="P9" i="3" s="1"/>
  <c r="Q9" i="3" s="1"/>
  <c r="E9" i="3"/>
  <c r="F9" i="3" s="1"/>
  <c r="G9" i="3" s="1"/>
  <c r="D9" i="3"/>
  <c r="C53" i="2"/>
  <c r="C50" i="2"/>
  <c r="C49" i="2"/>
  <c r="F48" i="2"/>
  <c r="E48" i="2"/>
  <c r="F47" i="2"/>
  <c r="E47" i="2"/>
  <c r="D47" i="2"/>
  <c r="F46" i="2"/>
  <c r="E46" i="2"/>
  <c r="E45" i="2"/>
  <c r="D45" i="2"/>
  <c r="F45" i="2" s="1"/>
  <c r="F44" i="2"/>
  <c r="E44" i="2"/>
  <c r="D44" i="2"/>
  <c r="F43" i="2"/>
  <c r="E43" i="2"/>
  <c r="D43" i="2"/>
  <c r="C42" i="2"/>
  <c r="C41" i="2"/>
  <c r="C40" i="2"/>
  <c r="E38" i="2"/>
  <c r="D38" i="2"/>
  <c r="F38" i="2" s="1"/>
  <c r="F37" i="2"/>
  <c r="E37" i="2"/>
  <c r="D37" i="2"/>
  <c r="F36" i="2"/>
  <c r="E36" i="2"/>
  <c r="D36" i="2"/>
  <c r="D35" i="2"/>
  <c r="D34" i="2"/>
  <c r="C34" i="2"/>
  <c r="D32" i="2"/>
  <c r="C32" i="2"/>
  <c r="E32" i="2" s="1"/>
  <c r="C31" i="2"/>
  <c r="E27" i="2"/>
  <c r="E26" i="2"/>
  <c r="D25" i="2"/>
  <c r="E24" i="2"/>
  <c r="D24" i="2"/>
  <c r="E23" i="2"/>
  <c r="D23" i="2"/>
  <c r="C22" i="2"/>
  <c r="C14" i="2" s="1"/>
  <c r="E21" i="2"/>
  <c r="E20" i="2"/>
  <c r="D20" i="2"/>
  <c r="F20" i="2" s="1"/>
  <c r="E19" i="2"/>
  <c r="D19" i="2"/>
  <c r="F19" i="2" s="1"/>
  <c r="F18" i="2"/>
  <c r="E18" i="2"/>
  <c r="D18" i="2"/>
  <c r="F17" i="2"/>
  <c r="E17" i="2"/>
  <c r="D17" i="2"/>
  <c r="E16" i="2"/>
  <c r="D15" i="2"/>
  <c r="E15" i="2" s="1"/>
  <c r="C13" i="2"/>
  <c r="D10" i="2"/>
  <c r="C10" i="2"/>
  <c r="D8" i="2"/>
  <c r="F105" i="23"/>
  <c r="L105" i="23" s="1"/>
  <c r="L104" i="23"/>
  <c r="F104" i="23"/>
  <c r="L103" i="23"/>
  <c r="F103" i="23"/>
  <c r="H102" i="23"/>
  <c r="K102" i="23" s="1"/>
  <c r="G102" i="23"/>
  <c r="F102" i="23" s="1"/>
  <c r="E102" i="23"/>
  <c r="H101" i="23"/>
  <c r="G101" i="23"/>
  <c r="F101" i="23" s="1"/>
  <c r="D101" i="23"/>
  <c r="H100" i="23"/>
  <c r="D100" i="23"/>
  <c r="G100" i="23" s="1"/>
  <c r="J100" i="23" s="1"/>
  <c r="H99" i="23"/>
  <c r="D99" i="23"/>
  <c r="H98" i="23"/>
  <c r="G98" i="23"/>
  <c r="D98" i="23"/>
  <c r="H97" i="23"/>
  <c r="F97" i="23"/>
  <c r="D97" i="23"/>
  <c r="G97" i="23" s="1"/>
  <c r="J97" i="23" s="1"/>
  <c r="E96" i="23"/>
  <c r="C96" i="23"/>
  <c r="H95" i="23"/>
  <c r="H94" i="23" s="1"/>
  <c r="F95" i="23"/>
  <c r="D95" i="23"/>
  <c r="G95" i="23" s="1"/>
  <c r="J95" i="23" s="1"/>
  <c r="J94" i="23"/>
  <c r="G94" i="23"/>
  <c r="E94" i="23"/>
  <c r="D94" i="23"/>
  <c r="C94" i="23"/>
  <c r="H93" i="23"/>
  <c r="D93" i="23"/>
  <c r="G93" i="23" s="1"/>
  <c r="J93" i="23" s="1"/>
  <c r="H92" i="23"/>
  <c r="D92" i="23"/>
  <c r="D90" i="23" s="1"/>
  <c r="H91" i="23"/>
  <c r="D91" i="23"/>
  <c r="G91" i="23" s="1"/>
  <c r="H90" i="23"/>
  <c r="E90" i="23"/>
  <c r="C90" i="23"/>
  <c r="C89" i="23" s="1"/>
  <c r="C88" i="23" s="1"/>
  <c r="G87" i="23"/>
  <c r="E87" i="23"/>
  <c r="H87" i="23" s="1"/>
  <c r="K87" i="23" s="1"/>
  <c r="H86" i="23"/>
  <c r="H85" i="23" s="1"/>
  <c r="K85" i="23" s="1"/>
  <c r="D86" i="23"/>
  <c r="G86" i="23" s="1"/>
  <c r="E85" i="23"/>
  <c r="C85" i="23"/>
  <c r="G84" i="23"/>
  <c r="E84" i="23"/>
  <c r="H84" i="23" s="1"/>
  <c r="K84" i="23" s="1"/>
  <c r="H83" i="23"/>
  <c r="D83" i="23"/>
  <c r="G83" i="23" s="1"/>
  <c r="J83" i="23" s="1"/>
  <c r="H82" i="23"/>
  <c r="D82" i="23"/>
  <c r="G82" i="23" s="1"/>
  <c r="H81" i="23"/>
  <c r="D81" i="23"/>
  <c r="G81" i="23" s="1"/>
  <c r="J81" i="23" s="1"/>
  <c r="H80" i="23"/>
  <c r="D80" i="23"/>
  <c r="G80" i="23" s="1"/>
  <c r="J79" i="23"/>
  <c r="H79" i="23"/>
  <c r="G79" i="23"/>
  <c r="F79" i="23" s="1"/>
  <c r="D79" i="23"/>
  <c r="H78" i="23"/>
  <c r="D78" i="23"/>
  <c r="G78" i="23" s="1"/>
  <c r="H77" i="23"/>
  <c r="D77" i="23"/>
  <c r="D71" i="23" s="1"/>
  <c r="D70" i="23" s="1"/>
  <c r="H76" i="23"/>
  <c r="G76" i="23"/>
  <c r="J76" i="23" s="1"/>
  <c r="F76" i="23"/>
  <c r="D76" i="23"/>
  <c r="H75" i="23"/>
  <c r="F75" i="23"/>
  <c r="I75" i="23" s="1"/>
  <c r="D75" i="23"/>
  <c r="G75" i="23" s="1"/>
  <c r="J75" i="23" s="1"/>
  <c r="H74" i="23"/>
  <c r="G74" i="23"/>
  <c r="D74" i="23"/>
  <c r="H73" i="23"/>
  <c r="D73" i="23"/>
  <c r="G73" i="23" s="1"/>
  <c r="J73" i="23" s="1"/>
  <c r="L72" i="23"/>
  <c r="J72" i="23"/>
  <c r="H72" i="23"/>
  <c r="G72" i="23"/>
  <c r="F72" i="23" s="1"/>
  <c r="I72" i="23" s="1"/>
  <c r="D72" i="23"/>
  <c r="H71" i="23"/>
  <c r="E71" i="23"/>
  <c r="C71" i="23"/>
  <c r="H70" i="23"/>
  <c r="K70" i="23" s="1"/>
  <c r="E70" i="23"/>
  <c r="C70" i="23"/>
  <c r="H69" i="23"/>
  <c r="D69" i="23"/>
  <c r="G69" i="23" s="1"/>
  <c r="H68" i="23"/>
  <c r="D68" i="23"/>
  <c r="H67" i="23"/>
  <c r="H66" i="23" s="1"/>
  <c r="D67" i="23"/>
  <c r="G67" i="23" s="1"/>
  <c r="E66" i="23"/>
  <c r="C66" i="23"/>
  <c r="H65" i="23"/>
  <c r="E65" i="23"/>
  <c r="D65" i="23"/>
  <c r="G65" i="23" s="1"/>
  <c r="J64" i="23"/>
  <c r="H64" i="23"/>
  <c r="D64" i="23"/>
  <c r="G64" i="23" s="1"/>
  <c r="F64" i="23" s="1"/>
  <c r="H63" i="23"/>
  <c r="H62" i="23" s="1"/>
  <c r="H61" i="23" s="1"/>
  <c r="E63" i="23"/>
  <c r="D63" i="23"/>
  <c r="G63" i="23" s="1"/>
  <c r="E62" i="23"/>
  <c r="D62" i="23"/>
  <c r="C62" i="23"/>
  <c r="E61" i="23"/>
  <c r="D61" i="23"/>
  <c r="C61" i="23"/>
  <c r="G60" i="23"/>
  <c r="E60" i="23"/>
  <c r="H60" i="23" s="1"/>
  <c r="H59" i="23"/>
  <c r="D59" i="23"/>
  <c r="G59" i="23" s="1"/>
  <c r="J58" i="23"/>
  <c r="H58" i="23"/>
  <c r="G58" i="23"/>
  <c r="F58" i="23"/>
  <c r="D58" i="23"/>
  <c r="H57" i="23"/>
  <c r="D57" i="23"/>
  <c r="G57" i="23" s="1"/>
  <c r="H56" i="23"/>
  <c r="D56" i="23"/>
  <c r="G56" i="23" s="1"/>
  <c r="J55" i="23"/>
  <c r="H55" i="23"/>
  <c r="G55" i="23"/>
  <c r="F55" i="23"/>
  <c r="I55" i="23" s="1"/>
  <c r="D55" i="23"/>
  <c r="H54" i="23"/>
  <c r="D54" i="23"/>
  <c r="G54" i="23" s="1"/>
  <c r="H53" i="23"/>
  <c r="H45" i="23" s="1"/>
  <c r="H44" i="23" s="1"/>
  <c r="D53" i="23"/>
  <c r="G53" i="23" s="1"/>
  <c r="H52" i="23"/>
  <c r="G52" i="23"/>
  <c r="D52" i="23"/>
  <c r="J51" i="23"/>
  <c r="H51" i="23"/>
  <c r="G51" i="23"/>
  <c r="F51" i="23"/>
  <c r="D51" i="23"/>
  <c r="H50" i="23"/>
  <c r="D50" i="23"/>
  <c r="G50" i="23" s="1"/>
  <c r="H49" i="23"/>
  <c r="D49" i="23"/>
  <c r="G49" i="23" s="1"/>
  <c r="H48" i="23"/>
  <c r="D48" i="23"/>
  <c r="G48" i="23" s="1"/>
  <c r="J47" i="23"/>
  <c r="H47" i="23"/>
  <c r="G47" i="23"/>
  <c r="F47" i="23"/>
  <c r="I47" i="23" s="1"/>
  <c r="D47" i="23"/>
  <c r="H46" i="23"/>
  <c r="D46" i="23"/>
  <c r="G46" i="23" s="1"/>
  <c r="E45" i="23"/>
  <c r="E44" i="23" s="1"/>
  <c r="C45" i="23"/>
  <c r="C44" i="23"/>
  <c r="C43" i="23" s="1"/>
  <c r="C41" i="23" s="1"/>
  <c r="L42" i="23"/>
  <c r="D42" i="23"/>
  <c r="D40" i="23"/>
  <c r="G38" i="23"/>
  <c r="F38" i="23"/>
  <c r="H38" i="23" s="1"/>
  <c r="D38" i="23"/>
  <c r="G37" i="23"/>
  <c r="F37" i="23"/>
  <c r="H37" i="23" s="1"/>
  <c r="D37" i="23"/>
  <c r="G36" i="23"/>
  <c r="G35" i="23" s="1"/>
  <c r="F36" i="23"/>
  <c r="F35" i="23" s="1"/>
  <c r="D36" i="23"/>
  <c r="E35" i="23"/>
  <c r="C35" i="23"/>
  <c r="C33" i="23"/>
  <c r="C32" i="23"/>
  <c r="E31" i="23"/>
  <c r="C31" i="23" s="1"/>
  <c r="L30" i="23"/>
  <c r="G30" i="23"/>
  <c r="I29" i="23"/>
  <c r="C29" i="23"/>
  <c r="C28" i="23"/>
  <c r="C27" i="23"/>
  <c r="J26" i="23"/>
  <c r="G26" i="23"/>
  <c r="E26" i="23"/>
  <c r="C26" i="23"/>
  <c r="A26" i="23"/>
  <c r="F25" i="23"/>
  <c r="E25" i="23"/>
  <c r="C25" i="23"/>
  <c r="I25" i="23" s="1"/>
  <c r="L24" i="23"/>
  <c r="E23" i="23"/>
  <c r="C23" i="23"/>
  <c r="L22" i="23"/>
  <c r="C22" i="23"/>
  <c r="L21" i="23"/>
  <c r="C21" i="23"/>
  <c r="J20" i="23"/>
  <c r="H20" i="23"/>
  <c r="F20" i="23" s="1"/>
  <c r="C20" i="23"/>
  <c r="J19" i="23"/>
  <c r="H19" i="23"/>
  <c r="F19" i="23"/>
  <c r="L19" i="23" s="1"/>
  <c r="E19" i="23"/>
  <c r="K19" i="23" s="1"/>
  <c r="C19" i="23"/>
  <c r="L18" i="23"/>
  <c r="C18" i="23"/>
  <c r="H17" i="23"/>
  <c r="G17" i="23"/>
  <c r="F17" i="23"/>
  <c r="L17" i="23" s="1"/>
  <c r="C17" i="23"/>
  <c r="H16" i="23"/>
  <c r="K16" i="23" s="1"/>
  <c r="G16" i="23"/>
  <c r="J16" i="23" s="1"/>
  <c r="C16" i="23"/>
  <c r="L15" i="23"/>
  <c r="C15" i="23"/>
  <c r="C14" i="23"/>
  <c r="C13" i="23" s="1"/>
  <c r="C12" i="23" s="1"/>
  <c r="C11" i="23" s="1"/>
  <c r="C10" i="23" s="1"/>
  <c r="E13" i="23"/>
  <c r="E12" i="23" s="1"/>
  <c r="E11" i="23" s="1"/>
  <c r="D13" i="23"/>
  <c r="D12" i="23"/>
  <c r="D11" i="23" s="1"/>
  <c r="H9" i="23"/>
  <c r="E9" i="23"/>
  <c r="M23" i="14"/>
  <c r="G23" i="14"/>
  <c r="C23" i="14"/>
  <c r="L23" i="14" s="1"/>
  <c r="M22" i="14"/>
  <c r="G22" i="14"/>
  <c r="L22" i="14" s="1"/>
  <c r="C22" i="14"/>
  <c r="M21" i="14"/>
  <c r="G21" i="14"/>
  <c r="C21" i="14"/>
  <c r="L21" i="14" s="1"/>
  <c r="M20" i="14"/>
  <c r="G20" i="14"/>
  <c r="L20" i="14" s="1"/>
  <c r="C20" i="14"/>
  <c r="M19" i="14"/>
  <c r="L19" i="14"/>
  <c r="G19" i="14"/>
  <c r="C19" i="14"/>
  <c r="M18" i="14"/>
  <c r="G18" i="14"/>
  <c r="L18" i="14" s="1"/>
  <c r="C18" i="14"/>
  <c r="A18" i="14"/>
  <c r="A19" i="14" s="1"/>
  <c r="A20" i="14" s="1"/>
  <c r="A21" i="14" s="1"/>
  <c r="A22" i="14" s="1"/>
  <c r="A23" i="14" s="1"/>
  <c r="O17" i="14"/>
  <c r="M17" i="14"/>
  <c r="G17" i="14"/>
  <c r="L17" i="14" s="1"/>
  <c r="C17" i="14"/>
  <c r="A17" i="14"/>
  <c r="M16" i="14"/>
  <c r="L16" i="14"/>
  <c r="G16" i="14"/>
  <c r="C16" i="14"/>
  <c r="A16" i="14"/>
  <c r="M15" i="14"/>
  <c r="K15" i="14"/>
  <c r="K13" i="14" s="1"/>
  <c r="C15" i="14"/>
  <c r="A15" i="14"/>
  <c r="M14" i="14"/>
  <c r="G14" i="14"/>
  <c r="L14" i="14" s="1"/>
  <c r="C14" i="14"/>
  <c r="J13" i="14"/>
  <c r="I13" i="14"/>
  <c r="H13" i="14"/>
  <c r="F13" i="14"/>
  <c r="O13" i="14" s="1"/>
  <c r="E13" i="14"/>
  <c r="D13" i="14"/>
  <c r="D12" i="14"/>
  <c r="E12" i="14" s="1"/>
  <c r="F12" i="14" s="1"/>
  <c r="G12" i="14" s="1"/>
  <c r="H12" i="14" s="1"/>
  <c r="I12" i="14" s="1"/>
  <c r="J12" i="14" s="1"/>
  <c r="A35" i="1"/>
  <c r="A38" i="1" s="1"/>
  <c r="IS38" i="1" s="1"/>
  <c r="D32" i="1"/>
  <c r="D33" i="32" s="1"/>
  <c r="E31" i="1"/>
  <c r="D31" i="1"/>
  <c r="D32" i="32" s="1"/>
  <c r="C30" i="1"/>
  <c r="A28" i="1"/>
  <c r="A31" i="1" s="1"/>
  <c r="A32" i="1" s="1"/>
  <c r="F27" i="1"/>
  <c r="D27" i="1"/>
  <c r="D28" i="32" s="1"/>
  <c r="C27" i="1"/>
  <c r="E25" i="1"/>
  <c r="E23" i="1"/>
  <c r="A23" i="1"/>
  <c r="C22" i="1"/>
  <c r="C21" i="1"/>
  <c r="C29" i="1" s="1"/>
  <c r="C28" i="1" s="1"/>
  <c r="C26" i="1" s="1"/>
  <c r="C34" i="1" s="1"/>
  <c r="C33" i="1" s="1"/>
  <c r="A20" i="1"/>
  <c r="D16" i="1"/>
  <c r="D17" i="32" s="1"/>
  <c r="E15" i="1"/>
  <c r="D15" i="1"/>
  <c r="A15" i="1"/>
  <c r="A16" i="1" s="1"/>
  <c r="A17" i="1" s="1"/>
  <c r="C14" i="1"/>
  <c r="C14" i="32" s="1"/>
  <c r="C13" i="1"/>
  <c r="C13" i="32" s="1"/>
  <c r="C12" i="32" s="1"/>
  <c r="A12" i="1"/>
  <c r="D11" i="1"/>
  <c r="D11" i="32" s="1"/>
  <c r="D8" i="1"/>
  <c r="E84" i="24"/>
  <c r="E83" i="24"/>
  <c r="E82" i="24"/>
  <c r="E81" i="24"/>
  <c r="E80" i="24"/>
  <c r="E79" i="24"/>
  <c r="E78" i="24"/>
  <c r="E77" i="24"/>
  <c r="E76" i="24" s="1"/>
  <c r="D76" i="24"/>
  <c r="C76" i="24"/>
  <c r="E75" i="24"/>
  <c r="D75" i="24"/>
  <c r="C75" i="24"/>
  <c r="D74" i="24"/>
  <c r="E74" i="24" s="1"/>
  <c r="D73" i="24"/>
  <c r="E73" i="24" s="1"/>
  <c r="D72" i="24"/>
  <c r="E72" i="24" s="1"/>
  <c r="D71" i="24"/>
  <c r="E71" i="24" s="1"/>
  <c r="C71" i="24"/>
  <c r="D70" i="24"/>
  <c r="C70" i="24"/>
  <c r="E70" i="24" s="1"/>
  <c r="A66" i="24"/>
  <c r="E60" i="24"/>
  <c r="E59" i="24"/>
  <c r="E58" i="24"/>
  <c r="E57" i="24"/>
  <c r="D57" i="24"/>
  <c r="C57" i="24"/>
  <c r="C44" i="24" s="1"/>
  <c r="E44" i="24" s="1"/>
  <c r="E56" i="24"/>
  <c r="E55" i="24"/>
  <c r="E54" i="24"/>
  <c r="E53" i="24"/>
  <c r="E52" i="24"/>
  <c r="E51" i="24"/>
  <c r="E50" i="24"/>
  <c r="E49" i="24"/>
  <c r="D48" i="24"/>
  <c r="C48" i="24"/>
  <c r="E46" i="24"/>
  <c r="C43" i="24"/>
  <c r="C42" i="24"/>
  <c r="C41" i="24" s="1"/>
  <c r="E40" i="24"/>
  <c r="C37" i="24"/>
  <c r="C69" i="24" s="1"/>
  <c r="D22" i="24" s="1"/>
  <c r="E22" i="24" s="1"/>
  <c r="C36" i="24"/>
  <c r="C35" i="24"/>
  <c r="E35" i="24" s="1"/>
  <c r="D34" i="24"/>
  <c r="D33" i="24" s="1"/>
  <c r="E30" i="24"/>
  <c r="E29" i="24"/>
  <c r="E28" i="24"/>
  <c r="E27" i="24"/>
  <c r="D27" i="24"/>
  <c r="C27" i="24"/>
  <c r="D26" i="24"/>
  <c r="E25" i="24"/>
  <c r="C19" i="24"/>
  <c r="C16" i="24" s="1"/>
  <c r="C17" i="24" s="1"/>
  <c r="A19" i="24"/>
  <c r="D14" i="24"/>
  <c r="C14" i="24"/>
  <c r="E14" i="24" s="1"/>
  <c r="E13" i="24"/>
  <c r="E12" i="24"/>
  <c r="E11" i="24"/>
  <c r="D10" i="24"/>
  <c r="E136" i="22"/>
  <c r="D135" i="22"/>
  <c r="C135" i="22"/>
  <c r="E135" i="22" s="1"/>
  <c r="E134" i="22"/>
  <c r="D133" i="22"/>
  <c r="C133" i="22"/>
  <c r="E133" i="22" s="1"/>
  <c r="E132" i="22"/>
  <c r="E131" i="22"/>
  <c r="C130" i="22"/>
  <c r="E130" i="22" s="1"/>
  <c r="E129" i="22"/>
  <c r="E128" i="22"/>
  <c r="D128" i="22"/>
  <c r="E127" i="22"/>
  <c r="E126" i="22"/>
  <c r="E125" i="22"/>
  <c r="E124" i="22"/>
  <c r="D123" i="22"/>
  <c r="C123" i="22"/>
  <c r="E123" i="22" s="1"/>
  <c r="E122" i="22"/>
  <c r="E121" i="22"/>
  <c r="E120" i="22"/>
  <c r="E119" i="22"/>
  <c r="C119" i="22"/>
  <c r="E118" i="22"/>
  <c r="C118" i="22"/>
  <c r="E117" i="22"/>
  <c r="C117" i="22"/>
  <c r="E116" i="22"/>
  <c r="C116" i="22"/>
  <c r="E115" i="22"/>
  <c r="C115" i="22"/>
  <c r="D114" i="22"/>
  <c r="C114" i="22"/>
  <c r="E114" i="22" s="1"/>
  <c r="E113" i="22"/>
  <c r="E112" i="22"/>
  <c r="C112" i="22"/>
  <c r="D111" i="22"/>
  <c r="C111" i="22"/>
  <c r="E111" i="22" s="1"/>
  <c r="C110" i="22"/>
  <c r="E110" i="22" s="1"/>
  <c r="C109" i="22"/>
  <c r="E109" i="22" s="1"/>
  <c r="C108" i="22"/>
  <c r="E108" i="22" s="1"/>
  <c r="D107" i="22"/>
  <c r="E104" i="22"/>
  <c r="C104" i="22"/>
  <c r="E103" i="22"/>
  <c r="C102" i="22"/>
  <c r="D101" i="22"/>
  <c r="C99" i="22"/>
  <c r="E99" i="22" s="1"/>
  <c r="C98" i="22"/>
  <c r="E98" i="22" s="1"/>
  <c r="C97" i="22"/>
  <c r="E97" i="22" s="1"/>
  <c r="C96" i="22"/>
  <c r="E96" i="22" s="1"/>
  <c r="C95" i="22"/>
  <c r="E95" i="22" s="1"/>
  <c r="C94" i="22"/>
  <c r="E94" i="22" s="1"/>
  <c r="C93" i="22"/>
  <c r="E93" i="22" s="1"/>
  <c r="C92" i="22"/>
  <c r="E92" i="22" s="1"/>
  <c r="C91" i="22"/>
  <c r="E91" i="22" s="1"/>
  <c r="C90" i="22"/>
  <c r="E90" i="22" s="1"/>
  <c r="C89" i="22"/>
  <c r="E89" i="22" s="1"/>
  <c r="E88" i="22"/>
  <c r="C88" i="22"/>
  <c r="F88" i="22" s="1"/>
  <c r="F87" i="22"/>
  <c r="C87" i="22"/>
  <c r="E87" i="22" s="1"/>
  <c r="D86" i="22"/>
  <c r="D85" i="22"/>
  <c r="C84" i="22"/>
  <c r="E83" i="22"/>
  <c r="C83" i="22"/>
  <c r="F83" i="22" s="1"/>
  <c r="F82" i="22"/>
  <c r="C82" i="22"/>
  <c r="E82" i="22" s="1"/>
  <c r="D81" i="22"/>
  <c r="C81" i="22"/>
  <c r="F81" i="22" s="1"/>
  <c r="F80" i="22"/>
  <c r="E80" i="22"/>
  <c r="C80" i="22"/>
  <c r="E79" i="22"/>
  <c r="E78" i="22"/>
  <c r="F77" i="22"/>
  <c r="C77" i="22"/>
  <c r="E77" i="22" s="1"/>
  <c r="F76" i="22"/>
  <c r="E76" i="22"/>
  <c r="E75" i="22" s="1"/>
  <c r="C76" i="22"/>
  <c r="C75" i="22" s="1"/>
  <c r="C74" i="22" s="1"/>
  <c r="D75" i="22"/>
  <c r="F75" i="22" s="1"/>
  <c r="C73" i="22"/>
  <c r="E72" i="22"/>
  <c r="E71" i="22"/>
  <c r="E70" i="22"/>
  <c r="E69" i="22"/>
  <c r="E68" i="22"/>
  <c r="C68" i="22"/>
  <c r="F68" i="22" s="1"/>
  <c r="C67" i="22"/>
  <c r="E67" i="22" s="1"/>
  <c r="F66" i="22"/>
  <c r="E66" i="22"/>
  <c r="C66" i="22"/>
  <c r="C65" i="22"/>
  <c r="E64" i="22"/>
  <c r="C64" i="22"/>
  <c r="F64" i="22" s="1"/>
  <c r="F63" i="22"/>
  <c r="C63" i="22"/>
  <c r="E63" i="22" s="1"/>
  <c r="F62" i="22"/>
  <c r="E62" i="22"/>
  <c r="C62" i="22"/>
  <c r="C61" i="22"/>
  <c r="E61" i="22" s="1"/>
  <c r="E60" i="22"/>
  <c r="C60" i="22"/>
  <c r="F60" i="22" s="1"/>
  <c r="F59" i="22"/>
  <c r="C59" i="22"/>
  <c r="E59" i="22" s="1"/>
  <c r="F58" i="22"/>
  <c r="E58" i="22"/>
  <c r="C58" i="22"/>
  <c r="C57" i="22"/>
  <c r="E56" i="22"/>
  <c r="C56" i="22"/>
  <c r="F56" i="22" s="1"/>
  <c r="F55" i="22"/>
  <c r="C55" i="22"/>
  <c r="E55" i="22" s="1"/>
  <c r="D54" i="22"/>
  <c r="D53" i="22"/>
  <c r="E51" i="22"/>
  <c r="E49" i="22"/>
  <c r="D49" i="22"/>
  <c r="C49" i="22"/>
  <c r="E47" i="22"/>
  <c r="E46" i="22"/>
  <c r="E45" i="22"/>
  <c r="D45" i="22"/>
  <c r="E47" i="9" s="1"/>
  <c r="D47" i="9" s="1"/>
  <c r="C47" i="9" s="1"/>
  <c r="C45" i="22"/>
  <c r="E44" i="22"/>
  <c r="E43" i="22"/>
  <c r="D42" i="22"/>
  <c r="E46" i="9" s="1"/>
  <c r="D46" i="9" s="1"/>
  <c r="C46" i="9" s="1"/>
  <c r="C42" i="22"/>
  <c r="E42" i="22" s="1"/>
  <c r="E41" i="22"/>
  <c r="E40" i="22"/>
  <c r="D39" i="22"/>
  <c r="E45" i="9" s="1"/>
  <c r="C39" i="22"/>
  <c r="D36" i="22"/>
  <c r="C36" i="22"/>
  <c r="E36" i="22" s="1"/>
  <c r="D35" i="22"/>
  <c r="D34" i="22"/>
  <c r="D33" i="22"/>
  <c r="C33" i="22"/>
  <c r="D32" i="22"/>
  <c r="C32" i="22"/>
  <c r="D31" i="22"/>
  <c r="C31" i="22"/>
  <c r="D30" i="22"/>
  <c r="E29" i="22"/>
  <c r="D28" i="22"/>
  <c r="E28" i="22" s="1"/>
  <c r="C28" i="22"/>
  <c r="D27" i="22"/>
  <c r="E27" i="22" s="1"/>
  <c r="C27" i="22"/>
  <c r="D26" i="22"/>
  <c r="F26" i="22" s="1"/>
  <c r="C26" i="22"/>
  <c r="E26" i="22" s="1"/>
  <c r="F25" i="22"/>
  <c r="D25" i="22"/>
  <c r="E25" i="22" s="1"/>
  <c r="C25" i="22"/>
  <c r="C24" i="22"/>
  <c r="F24" i="22" s="1"/>
  <c r="A24" i="22"/>
  <c r="F23" i="22"/>
  <c r="C23" i="22"/>
  <c r="E23" i="22" s="1"/>
  <c r="E22" i="22"/>
  <c r="F21" i="22"/>
  <c r="D21" i="22"/>
  <c r="C21" i="22"/>
  <c r="E21" i="22" s="1"/>
  <c r="E20" i="22"/>
  <c r="E19" i="22"/>
  <c r="C18" i="22"/>
  <c r="F18" i="22" s="1"/>
  <c r="C17" i="22"/>
  <c r="F17" i="22" s="1"/>
  <c r="E16" i="22"/>
  <c r="E15" i="22"/>
  <c r="D15" i="22"/>
  <c r="D14" i="22"/>
  <c r="E14" i="22" s="1"/>
  <c r="E13" i="22"/>
  <c r="D12" i="22"/>
  <c r="F12" i="22" s="1"/>
  <c r="C12" i="22"/>
  <c r="C11" i="22" s="1"/>
  <c r="C10" i="22" s="1"/>
  <c r="D11" i="22"/>
  <c r="D10" i="22" s="1"/>
  <c r="H69" i="13"/>
  <c r="G69" i="13"/>
  <c r="H68" i="13"/>
  <c r="H66" i="13"/>
  <c r="H65" i="13"/>
  <c r="G65" i="13"/>
  <c r="H64" i="13"/>
  <c r="G64" i="13"/>
  <c r="H63" i="13"/>
  <c r="G63" i="13"/>
  <c r="H62" i="13"/>
  <c r="G62" i="13"/>
  <c r="H61" i="13"/>
  <c r="F61" i="13"/>
  <c r="E61" i="13"/>
  <c r="D61" i="13"/>
  <c r="C61" i="13"/>
  <c r="G61" i="13" s="1"/>
  <c r="H60" i="13"/>
  <c r="G60" i="13"/>
  <c r="F59" i="13"/>
  <c r="F58" i="13"/>
  <c r="H57" i="13"/>
  <c r="G57" i="13"/>
  <c r="F57" i="13"/>
  <c r="L60" i="13" s="1"/>
  <c r="L56" i="13"/>
  <c r="M57" i="13" s="1"/>
  <c r="N57" i="13" s="1"/>
  <c r="F56" i="13"/>
  <c r="J56" i="13" s="1"/>
  <c r="D56" i="13"/>
  <c r="H55" i="13"/>
  <c r="G55" i="13"/>
  <c r="H54" i="13"/>
  <c r="G54" i="13"/>
  <c r="H53" i="13"/>
  <c r="G53" i="13"/>
  <c r="H52" i="13"/>
  <c r="G52" i="13"/>
  <c r="H51" i="13"/>
  <c r="G51" i="13"/>
  <c r="H50" i="13"/>
  <c r="G50" i="13"/>
  <c r="H49" i="13"/>
  <c r="G49" i="13"/>
  <c r="H48" i="13"/>
  <c r="G48" i="13"/>
  <c r="H47" i="13"/>
  <c r="G47" i="13"/>
  <c r="H46" i="13"/>
  <c r="G46" i="13"/>
  <c r="H45" i="13"/>
  <c r="G45" i="13"/>
  <c r="H44" i="13"/>
  <c r="G44" i="13"/>
  <c r="H43" i="13"/>
  <c r="G43" i="13"/>
  <c r="H42" i="13"/>
  <c r="G42" i="13"/>
  <c r="H41" i="13"/>
  <c r="G41" i="13"/>
  <c r="G40" i="13"/>
  <c r="F40" i="13"/>
  <c r="F38" i="13" s="1"/>
  <c r="H38" i="13" s="1"/>
  <c r="H39" i="13"/>
  <c r="G39" i="13"/>
  <c r="G38" i="13"/>
  <c r="E38" i="13"/>
  <c r="D38" i="13"/>
  <c r="C38" i="13"/>
  <c r="H37" i="13"/>
  <c r="G37" i="13"/>
  <c r="H36" i="13"/>
  <c r="G36" i="13"/>
  <c r="H35" i="13"/>
  <c r="G35" i="13"/>
  <c r="F34" i="13"/>
  <c r="H34" i="13" s="1"/>
  <c r="E34" i="13"/>
  <c r="D34" i="13"/>
  <c r="C34" i="13"/>
  <c r="H33" i="13"/>
  <c r="G33" i="13"/>
  <c r="H32" i="13"/>
  <c r="G32" i="13"/>
  <c r="H31" i="13"/>
  <c r="G31" i="13"/>
  <c r="H30" i="13"/>
  <c r="G30" i="13"/>
  <c r="H29" i="13"/>
  <c r="G29" i="13"/>
  <c r="H28" i="13"/>
  <c r="G28" i="13"/>
  <c r="H27" i="13"/>
  <c r="G27" i="13"/>
  <c r="F26" i="13"/>
  <c r="H26" i="13" s="1"/>
  <c r="E26" i="13"/>
  <c r="G26" i="13" s="1"/>
  <c r="D26" i="13"/>
  <c r="C26" i="13"/>
  <c r="H25" i="13"/>
  <c r="G25" i="13"/>
  <c r="H24" i="13"/>
  <c r="G24" i="13"/>
  <c r="G23" i="13"/>
  <c r="F23" i="13"/>
  <c r="H23" i="13" s="1"/>
  <c r="E23" i="13"/>
  <c r="D23" i="13"/>
  <c r="C23" i="13"/>
  <c r="G22" i="13"/>
  <c r="F22" i="13"/>
  <c r="H22" i="13" s="1"/>
  <c r="D22" i="13"/>
  <c r="H21" i="13"/>
  <c r="G21" i="13"/>
  <c r="F21" i="13"/>
  <c r="D21" i="13"/>
  <c r="H20" i="13"/>
  <c r="G20" i="13"/>
  <c r="H19" i="13"/>
  <c r="G19" i="13"/>
  <c r="H18" i="13"/>
  <c r="G18" i="13"/>
  <c r="F17" i="13"/>
  <c r="H17" i="13" s="1"/>
  <c r="E17" i="13"/>
  <c r="G17" i="13" s="1"/>
  <c r="D17" i="13"/>
  <c r="C17" i="13"/>
  <c r="C10" i="13" s="1"/>
  <c r="C9" i="13" s="1"/>
  <c r="A17" i="13"/>
  <c r="A23" i="13" s="1"/>
  <c r="A26" i="13" s="1"/>
  <c r="A33" i="13" s="1"/>
  <c r="A34" i="13" s="1"/>
  <c r="A37" i="13" s="1"/>
  <c r="A38" i="13" s="1"/>
  <c r="A44" i="13" s="1"/>
  <c r="A45" i="13" s="1"/>
  <c r="A46" i="13" s="1"/>
  <c r="A47" i="13" s="1"/>
  <c r="A48" i="13" s="1"/>
  <c r="A49" i="13" s="1"/>
  <c r="A50" i="13" s="1"/>
  <c r="A51" i="13" s="1"/>
  <c r="A52" i="13" s="1"/>
  <c r="A53" i="13" s="1"/>
  <c r="A54" i="13" s="1"/>
  <c r="A55" i="13" s="1"/>
  <c r="A56" i="13" s="1"/>
  <c r="H16" i="13"/>
  <c r="G16" i="13"/>
  <c r="H15" i="13"/>
  <c r="G15" i="13"/>
  <c r="H14" i="13"/>
  <c r="G14" i="13"/>
  <c r="H13" i="13"/>
  <c r="G13" i="13"/>
  <c r="H12" i="13"/>
  <c r="G12" i="13"/>
  <c r="F11" i="13"/>
  <c r="H11" i="13" s="1"/>
  <c r="E11" i="13"/>
  <c r="G11" i="13" s="1"/>
  <c r="D11" i="13"/>
  <c r="D10" i="13" s="1"/>
  <c r="D9" i="13" s="1"/>
  <c r="C11" i="13"/>
  <c r="D8" i="13"/>
  <c r="E8" i="13" s="1"/>
  <c r="F8" i="13" s="1"/>
  <c r="F50" i="12"/>
  <c r="D50" i="12"/>
  <c r="C50" i="12"/>
  <c r="E49" i="12"/>
  <c r="E48" i="12" s="1"/>
  <c r="C49" i="12"/>
  <c r="F49" i="12" s="1"/>
  <c r="F47" i="12"/>
  <c r="F46" i="12"/>
  <c r="F45" i="12"/>
  <c r="E45" i="12"/>
  <c r="D45" i="12"/>
  <c r="C45" i="12"/>
  <c r="E44" i="12"/>
  <c r="G44" i="12" s="1"/>
  <c r="C44" i="12"/>
  <c r="F44" i="12" s="1"/>
  <c r="J42" i="12"/>
  <c r="F42" i="12"/>
  <c r="G40" i="12"/>
  <c r="F40" i="12"/>
  <c r="D40" i="12"/>
  <c r="G40" i="23" s="1"/>
  <c r="E39" i="12"/>
  <c r="G39" i="12" s="1"/>
  <c r="D39" i="12"/>
  <c r="C39" i="12"/>
  <c r="C37" i="12" s="1"/>
  <c r="A39" i="12"/>
  <c r="C38" i="12"/>
  <c r="D36" i="12"/>
  <c r="C36" i="12"/>
  <c r="G36" i="12" s="1"/>
  <c r="F35" i="12"/>
  <c r="D35" i="12"/>
  <c r="D29" i="12"/>
  <c r="C29" i="12"/>
  <c r="C30" i="22" s="1"/>
  <c r="F28" i="12"/>
  <c r="F27" i="12"/>
  <c r="C26" i="12"/>
  <c r="G26" i="12" s="1"/>
  <c r="G25" i="12"/>
  <c r="F25" i="12"/>
  <c r="D25" i="12"/>
  <c r="C25" i="12"/>
  <c r="D24" i="12"/>
  <c r="C24" i="12"/>
  <c r="G24" i="12" s="1"/>
  <c r="A24" i="12"/>
  <c r="A25" i="12" s="1"/>
  <c r="A26" i="12" s="1"/>
  <c r="A28" i="12" s="1"/>
  <c r="A29" i="12" s="1"/>
  <c r="A35" i="12" s="1"/>
  <c r="A36" i="12" s="1"/>
  <c r="G23" i="12"/>
  <c r="D23" i="12"/>
  <c r="F23" i="23" s="1"/>
  <c r="C23" i="12"/>
  <c r="F23" i="12" s="1"/>
  <c r="A23" i="12"/>
  <c r="F22" i="12"/>
  <c r="D22" i="12"/>
  <c r="F14" i="23" s="1"/>
  <c r="C22" i="12"/>
  <c r="G22" i="12" s="1"/>
  <c r="E21" i="12"/>
  <c r="G19" i="12"/>
  <c r="D19" i="12"/>
  <c r="F19" i="12" s="1"/>
  <c r="F18" i="12"/>
  <c r="D18" i="12"/>
  <c r="G18" i="12" s="1"/>
  <c r="F17" i="12"/>
  <c r="A15" i="12"/>
  <c r="G14" i="12"/>
  <c r="F14" i="12"/>
  <c r="C13" i="12"/>
  <c r="G12" i="12"/>
  <c r="F12" i="12"/>
  <c r="G11" i="12"/>
  <c r="F11" i="12"/>
  <c r="F10" i="12"/>
  <c r="E10" i="12"/>
  <c r="E28" i="32" s="1"/>
  <c r="D10" i="12"/>
  <c r="C10" i="12"/>
  <c r="C9" i="12" s="1"/>
  <c r="D8" i="12"/>
  <c r="E8" i="12" s="1"/>
  <c r="F8" i="12" s="1"/>
  <c r="G8" i="12" s="1"/>
  <c r="E103" i="19"/>
  <c r="E102" i="19"/>
  <c r="E101" i="19"/>
  <c r="D100" i="19"/>
  <c r="D99" i="19"/>
  <c r="D98" i="19"/>
  <c r="D97" i="19"/>
  <c r="D96" i="19"/>
  <c r="D95" i="19"/>
  <c r="D94" i="19"/>
  <c r="C94" i="19"/>
  <c r="D93" i="19"/>
  <c r="D92" i="19" s="1"/>
  <c r="C92" i="19"/>
  <c r="D91" i="19"/>
  <c r="D90" i="19"/>
  <c r="D89" i="19"/>
  <c r="D88" i="19"/>
  <c r="D87" i="19" s="1"/>
  <c r="D86" i="19" s="1"/>
  <c r="C88" i="19"/>
  <c r="C87" i="19" s="1"/>
  <c r="C86" i="19" s="1"/>
  <c r="D85" i="19"/>
  <c r="D84" i="19"/>
  <c r="D83" i="19"/>
  <c r="C83" i="19"/>
  <c r="D82" i="19"/>
  <c r="D81" i="19"/>
  <c r="D80" i="19"/>
  <c r="D79" i="19"/>
  <c r="D78" i="19"/>
  <c r="D77" i="19"/>
  <c r="D76" i="19"/>
  <c r="D69" i="19" s="1"/>
  <c r="D75" i="19"/>
  <c r="D74" i="19"/>
  <c r="D73" i="19"/>
  <c r="D72" i="19"/>
  <c r="D71" i="19"/>
  <c r="D70" i="19"/>
  <c r="C69" i="19"/>
  <c r="D68" i="19"/>
  <c r="D67" i="19"/>
  <c r="E66" i="19"/>
  <c r="D66" i="19"/>
  <c r="F66" i="19" s="1"/>
  <c r="D65" i="19"/>
  <c r="F65" i="19" s="1"/>
  <c r="C65" i="19"/>
  <c r="D64" i="19"/>
  <c r="F64" i="19" s="1"/>
  <c r="D63" i="19"/>
  <c r="F63" i="19" s="1"/>
  <c r="F62" i="19"/>
  <c r="E62" i="19"/>
  <c r="D62" i="19"/>
  <c r="C61" i="19"/>
  <c r="C60" i="19" s="1"/>
  <c r="E59" i="19"/>
  <c r="D59" i="19"/>
  <c r="F59" i="19" s="1"/>
  <c r="D58" i="19"/>
  <c r="F58" i="19" s="1"/>
  <c r="F57" i="19"/>
  <c r="D57" i="19"/>
  <c r="E57" i="19" s="1"/>
  <c r="F56" i="19"/>
  <c r="D56" i="19"/>
  <c r="E56" i="19" s="1"/>
  <c r="E55" i="19"/>
  <c r="D55" i="19"/>
  <c r="F55" i="19" s="1"/>
  <c r="D54" i="19"/>
  <c r="F54" i="19" s="1"/>
  <c r="D53" i="19"/>
  <c r="F53" i="19" s="1"/>
  <c r="F52" i="19"/>
  <c r="E52" i="19"/>
  <c r="D52" i="19"/>
  <c r="E51" i="19"/>
  <c r="D51" i="19"/>
  <c r="F51" i="19" s="1"/>
  <c r="D50" i="19"/>
  <c r="F50" i="19" s="1"/>
  <c r="F49" i="19"/>
  <c r="E49" i="19"/>
  <c r="D49" i="19"/>
  <c r="F48" i="19"/>
  <c r="D48" i="19"/>
  <c r="E48" i="19" s="1"/>
  <c r="E47" i="19"/>
  <c r="D47" i="19"/>
  <c r="F47" i="19" s="1"/>
  <c r="D46" i="19"/>
  <c r="F46" i="19" s="1"/>
  <c r="D45" i="19"/>
  <c r="D44" i="19" s="1"/>
  <c r="C44" i="19"/>
  <c r="C43" i="19"/>
  <c r="E41" i="19"/>
  <c r="F39" i="19"/>
  <c r="E39" i="19"/>
  <c r="D39" i="19"/>
  <c r="E37" i="19"/>
  <c r="D37" i="19"/>
  <c r="E36" i="19"/>
  <c r="D36" i="19"/>
  <c r="E35" i="19"/>
  <c r="D35" i="19"/>
  <c r="D34" i="19"/>
  <c r="C34" i="19"/>
  <c r="D32" i="19"/>
  <c r="G33" i="23" s="1"/>
  <c r="D31" i="19"/>
  <c r="G32" i="23" s="1"/>
  <c r="F32" i="23" s="1"/>
  <c r="L32" i="23" s="1"/>
  <c r="F30" i="19"/>
  <c r="E30" i="19"/>
  <c r="D30" i="19"/>
  <c r="G31" i="23" s="1"/>
  <c r="E29" i="19"/>
  <c r="D28" i="19"/>
  <c r="G29" i="23" s="1"/>
  <c r="L29" i="23" s="1"/>
  <c r="F27" i="19"/>
  <c r="E27" i="19"/>
  <c r="D27" i="19"/>
  <c r="G28" i="23" s="1"/>
  <c r="E26" i="19"/>
  <c r="D26" i="19"/>
  <c r="G27" i="23" s="1"/>
  <c r="J27" i="23" s="1"/>
  <c r="D25" i="19"/>
  <c r="F26" i="23" s="1"/>
  <c r="F24" i="19"/>
  <c r="E24" i="19"/>
  <c r="E23" i="19"/>
  <c r="F22" i="19"/>
  <c r="D22" i="19"/>
  <c r="E22" i="19" s="1"/>
  <c r="E21" i="19"/>
  <c r="E20" i="19"/>
  <c r="E17" i="19"/>
  <c r="E16" i="19"/>
  <c r="E15" i="19"/>
  <c r="E14" i="19"/>
  <c r="E13" i="19"/>
  <c r="D13" i="19"/>
  <c r="F13" i="19" s="1"/>
  <c r="D12" i="19"/>
  <c r="D11" i="19" s="1"/>
  <c r="C12" i="19"/>
  <c r="C11" i="19" s="1"/>
  <c r="C10" i="19" s="1"/>
  <c r="D8" i="19"/>
  <c r="G64" i="10"/>
  <c r="F64" i="10"/>
  <c r="H63" i="10"/>
  <c r="G63" i="10"/>
  <c r="H62" i="10"/>
  <c r="G62" i="10"/>
  <c r="H61" i="10"/>
  <c r="G61" i="10"/>
  <c r="H60" i="10"/>
  <c r="G60" i="10"/>
  <c r="H59" i="10"/>
  <c r="G59" i="10"/>
  <c r="E58" i="10"/>
  <c r="G58" i="10" s="1"/>
  <c r="D58" i="10"/>
  <c r="H58" i="10" s="1"/>
  <c r="C58" i="10"/>
  <c r="G57" i="10"/>
  <c r="F57" i="10"/>
  <c r="D57" i="10"/>
  <c r="H57" i="10" s="1"/>
  <c r="G56" i="10"/>
  <c r="F56" i="10"/>
  <c r="H56" i="10" s="1"/>
  <c r="D56" i="10"/>
  <c r="G55" i="10"/>
  <c r="F55" i="10"/>
  <c r="D55" i="10"/>
  <c r="H55" i="10" s="1"/>
  <c r="G54" i="10"/>
  <c r="F54" i="10"/>
  <c r="H54" i="10" s="1"/>
  <c r="D54" i="10"/>
  <c r="G53" i="10"/>
  <c r="F53" i="10"/>
  <c r="D53" i="10"/>
  <c r="H53" i="10" s="1"/>
  <c r="G52" i="10"/>
  <c r="F52" i="10"/>
  <c r="H52" i="10" s="1"/>
  <c r="D52" i="10"/>
  <c r="G51" i="10"/>
  <c r="F51" i="10"/>
  <c r="D19" i="19" s="1"/>
  <c r="D51" i="10"/>
  <c r="H51" i="10" s="1"/>
  <c r="G50" i="10"/>
  <c r="F50" i="10"/>
  <c r="H50" i="10" s="1"/>
  <c r="D50" i="10"/>
  <c r="G49" i="10"/>
  <c r="F49" i="10"/>
  <c r="D18" i="19" s="1"/>
  <c r="D49" i="10"/>
  <c r="H49" i="10" s="1"/>
  <c r="G48" i="10"/>
  <c r="F48" i="10"/>
  <c r="H48" i="10" s="1"/>
  <c r="D48" i="10"/>
  <c r="G47" i="10"/>
  <c r="F47" i="10"/>
  <c r="D47" i="10"/>
  <c r="H47" i="10" s="1"/>
  <c r="G46" i="10"/>
  <c r="F46" i="10"/>
  <c r="H46" i="10" s="1"/>
  <c r="H45" i="10"/>
  <c r="G45" i="10"/>
  <c r="F45" i="10"/>
  <c r="D45" i="10"/>
  <c r="G44" i="10"/>
  <c r="F44" i="10"/>
  <c r="D44" i="10"/>
  <c r="H44" i="10" s="1"/>
  <c r="H43" i="10"/>
  <c r="G43" i="10"/>
  <c r="F43" i="10"/>
  <c r="D43" i="10"/>
  <c r="G42" i="10"/>
  <c r="F42" i="10"/>
  <c r="D42" i="10"/>
  <c r="H42" i="10" s="1"/>
  <c r="H41" i="10"/>
  <c r="G41" i="10"/>
  <c r="F41" i="10"/>
  <c r="D41" i="10"/>
  <c r="G40" i="10"/>
  <c r="F40" i="10"/>
  <c r="D40" i="10"/>
  <c r="H40" i="10" s="1"/>
  <c r="H39" i="10"/>
  <c r="G39" i="10"/>
  <c r="F38" i="10"/>
  <c r="E38" i="10"/>
  <c r="G38" i="10" s="1"/>
  <c r="C38" i="10"/>
  <c r="H37" i="10"/>
  <c r="G37" i="10"/>
  <c r="F37" i="10"/>
  <c r="D37" i="10"/>
  <c r="G36" i="10"/>
  <c r="F36" i="10"/>
  <c r="D36" i="10"/>
  <c r="H36" i="10" s="1"/>
  <c r="H35" i="10"/>
  <c r="G35" i="10"/>
  <c r="F34" i="10"/>
  <c r="H34" i="10" s="1"/>
  <c r="E34" i="10"/>
  <c r="G34" i="10" s="1"/>
  <c r="C34" i="10"/>
  <c r="D34" i="10" s="1"/>
  <c r="H33" i="10"/>
  <c r="G33" i="10"/>
  <c r="F33" i="10"/>
  <c r="D33" i="10"/>
  <c r="E32" i="10"/>
  <c r="G32" i="10" s="1"/>
  <c r="D32" i="10"/>
  <c r="G31" i="10"/>
  <c r="F31" i="10"/>
  <c r="D31" i="10"/>
  <c r="H31" i="10" s="1"/>
  <c r="G30" i="10"/>
  <c r="F30" i="10"/>
  <c r="H30" i="10" s="1"/>
  <c r="D30" i="10"/>
  <c r="G29" i="10"/>
  <c r="F29" i="10"/>
  <c r="D29" i="10"/>
  <c r="H29" i="10" s="1"/>
  <c r="G28" i="10"/>
  <c r="F28" i="10"/>
  <c r="H28" i="10" s="1"/>
  <c r="D28" i="10"/>
  <c r="G27" i="10"/>
  <c r="F27" i="10"/>
  <c r="D27" i="10"/>
  <c r="H27" i="10" s="1"/>
  <c r="E26" i="10"/>
  <c r="G26" i="10" s="1"/>
  <c r="D26" i="10"/>
  <c r="C26" i="10"/>
  <c r="G25" i="10"/>
  <c r="F25" i="10"/>
  <c r="H25" i="10" s="1"/>
  <c r="D25" i="10"/>
  <c r="H24" i="10"/>
  <c r="G24" i="10"/>
  <c r="F24" i="10"/>
  <c r="D24" i="10"/>
  <c r="E23" i="10"/>
  <c r="F23" i="10" s="1"/>
  <c r="C23" i="10"/>
  <c r="G23" i="10" s="1"/>
  <c r="E22" i="10"/>
  <c r="G22" i="10" s="1"/>
  <c r="D22" i="10"/>
  <c r="G21" i="10"/>
  <c r="F21" i="10"/>
  <c r="H21" i="10" s="1"/>
  <c r="D21" i="10"/>
  <c r="G20" i="10"/>
  <c r="F20" i="10"/>
  <c r="H20" i="10" s="1"/>
  <c r="D20" i="10"/>
  <c r="G19" i="10"/>
  <c r="F19" i="10"/>
  <c r="H19" i="10" s="1"/>
  <c r="D19" i="10"/>
  <c r="G18" i="10"/>
  <c r="F18" i="10"/>
  <c r="H18" i="10" s="1"/>
  <c r="D18" i="10"/>
  <c r="G17" i="10"/>
  <c r="F17" i="10"/>
  <c r="H17" i="10" s="1"/>
  <c r="E17" i="10"/>
  <c r="D17" i="10"/>
  <c r="C17" i="10"/>
  <c r="E16" i="10"/>
  <c r="G16" i="10" s="1"/>
  <c r="D16" i="10"/>
  <c r="G15" i="10"/>
  <c r="F15" i="10"/>
  <c r="D15" i="10"/>
  <c r="H15" i="10" s="1"/>
  <c r="G14" i="10"/>
  <c r="F14" i="10"/>
  <c r="H14" i="10" s="1"/>
  <c r="D14" i="10"/>
  <c r="G13" i="10"/>
  <c r="F13" i="10"/>
  <c r="D13" i="10"/>
  <c r="H13" i="10" s="1"/>
  <c r="G12" i="10"/>
  <c r="F12" i="10"/>
  <c r="H12" i="10" s="1"/>
  <c r="D12" i="10"/>
  <c r="E11" i="10"/>
  <c r="G11" i="10" s="1"/>
  <c r="C11" i="10"/>
  <c r="D11" i="10" s="1"/>
  <c r="E8" i="10"/>
  <c r="F8" i="10" s="1"/>
  <c r="D8" i="10"/>
  <c r="E41" i="11"/>
  <c r="D40" i="11"/>
  <c r="D39" i="11" s="1"/>
  <c r="E39" i="11" s="1"/>
  <c r="C39" i="11"/>
  <c r="E38" i="11"/>
  <c r="E36" i="11" s="1"/>
  <c r="E37" i="11"/>
  <c r="D36" i="11"/>
  <c r="C36" i="11"/>
  <c r="D35" i="11"/>
  <c r="E35" i="11" s="1"/>
  <c r="D34" i="11"/>
  <c r="D43" i="12" s="1"/>
  <c r="D33" i="11"/>
  <c r="D42" i="12" s="1"/>
  <c r="F32" i="11"/>
  <c r="E32" i="11"/>
  <c r="D32" i="11"/>
  <c r="A32" i="11"/>
  <c r="D31" i="11"/>
  <c r="D38" i="12" s="1"/>
  <c r="D37" i="12" s="1"/>
  <c r="D15" i="12" s="1"/>
  <c r="D13" i="12" s="1"/>
  <c r="D30" i="11"/>
  <c r="D15" i="11" s="1"/>
  <c r="C30" i="11"/>
  <c r="E29" i="11"/>
  <c r="A28" i="11"/>
  <c r="F27" i="11"/>
  <c r="E27" i="11"/>
  <c r="E26" i="11"/>
  <c r="F25" i="11"/>
  <c r="E25" i="11"/>
  <c r="F24" i="11"/>
  <c r="E24" i="11"/>
  <c r="F23" i="11"/>
  <c r="E23" i="11"/>
  <c r="A23" i="11"/>
  <c r="A24" i="11" s="1"/>
  <c r="A25" i="11" s="1"/>
  <c r="A26" i="11" s="1"/>
  <c r="F22" i="11"/>
  <c r="E22" i="11"/>
  <c r="A22" i="11"/>
  <c r="F21" i="11"/>
  <c r="E21" i="11"/>
  <c r="D20" i="11"/>
  <c r="D19" i="11" s="1"/>
  <c r="C20" i="11"/>
  <c r="C19" i="11" s="1"/>
  <c r="E18" i="11"/>
  <c r="E17" i="11"/>
  <c r="E16" i="11"/>
  <c r="A15" i="11"/>
  <c r="F14" i="11"/>
  <c r="D14" i="11"/>
  <c r="D13" i="1" s="1"/>
  <c r="C13" i="11"/>
  <c r="F12" i="11"/>
  <c r="E12" i="11"/>
  <c r="A12" i="11"/>
  <c r="F11" i="11"/>
  <c r="E11" i="11"/>
  <c r="F10" i="11"/>
  <c r="C10" i="11"/>
  <c r="C11" i="1" s="1"/>
  <c r="C9" i="11"/>
  <c r="D8" i="11"/>
  <c r="F44" i="19" l="1"/>
  <c r="D43" i="19"/>
  <c r="D10" i="19"/>
  <c r="F11" i="19"/>
  <c r="E11" i="19"/>
  <c r="E10" i="13"/>
  <c r="K44" i="23"/>
  <c r="F19" i="19"/>
  <c r="E19" i="19"/>
  <c r="G10" i="22"/>
  <c r="F10" i="22"/>
  <c r="E10" i="22"/>
  <c r="D14" i="1"/>
  <c r="E15" i="11"/>
  <c r="F15" i="11"/>
  <c r="F19" i="11"/>
  <c r="E19" i="11"/>
  <c r="F18" i="19"/>
  <c r="E18" i="19"/>
  <c r="D9" i="12"/>
  <c r="H23" i="10"/>
  <c r="L26" i="23"/>
  <c r="I26" i="23"/>
  <c r="H26" i="23"/>
  <c r="K26" i="23" s="1"/>
  <c r="C42" i="19"/>
  <c r="C40" i="19" s="1"/>
  <c r="C38" i="19" s="1"/>
  <c r="C33" i="19" s="1"/>
  <c r="C9" i="19" s="1"/>
  <c r="F57" i="22"/>
  <c r="E57" i="22"/>
  <c r="J56" i="23"/>
  <c r="F56" i="23"/>
  <c r="E40" i="11"/>
  <c r="D23" i="10"/>
  <c r="D10" i="10" s="1"/>
  <c r="D9" i="10" s="1"/>
  <c r="F26" i="10"/>
  <c r="H26" i="10" s="1"/>
  <c r="E12" i="19"/>
  <c r="E25" i="19"/>
  <c r="J33" i="23"/>
  <c r="F33" i="23"/>
  <c r="E50" i="19"/>
  <c r="E58" i="19"/>
  <c r="E65" i="19"/>
  <c r="E64" i="19" s="1"/>
  <c r="C41" i="12"/>
  <c r="D44" i="12"/>
  <c r="D49" i="12"/>
  <c r="D48" i="12" s="1"/>
  <c r="G48" i="12" s="1"/>
  <c r="E11" i="22"/>
  <c r="E18" i="22"/>
  <c r="F27" i="22"/>
  <c r="F36" i="22"/>
  <c r="C54" i="22"/>
  <c r="F61" i="22"/>
  <c r="F65" i="22"/>
  <c r="E65" i="22"/>
  <c r="M13" i="14"/>
  <c r="D35" i="23"/>
  <c r="F59" i="23"/>
  <c r="J59" i="23"/>
  <c r="I64" i="23"/>
  <c r="L64" i="23"/>
  <c r="J98" i="23"/>
  <c r="F98" i="23"/>
  <c r="G96" i="23"/>
  <c r="J96" i="23" s="1"/>
  <c r="E30" i="11"/>
  <c r="F16" i="10"/>
  <c r="H16" i="10" s="1"/>
  <c r="F32" i="10"/>
  <c r="H32" i="10" s="1"/>
  <c r="D38" i="10"/>
  <c r="H38" i="10" s="1"/>
  <c r="F12" i="19"/>
  <c r="F25" i="19"/>
  <c r="E28" i="19"/>
  <c r="E32" i="19"/>
  <c r="E34" i="19"/>
  <c r="E45" i="19"/>
  <c r="E53" i="19"/>
  <c r="E63" i="19"/>
  <c r="D104" i="19"/>
  <c r="C21" i="12"/>
  <c r="C20" i="12" s="1"/>
  <c r="G34" i="13"/>
  <c r="F11" i="22"/>
  <c r="F84" i="22"/>
  <c r="E84" i="22"/>
  <c r="J49" i="23"/>
  <c r="F49" i="23"/>
  <c r="J57" i="23"/>
  <c r="F57" i="23"/>
  <c r="N14" i="3"/>
  <c r="G10" i="5"/>
  <c r="D33" i="2"/>
  <c r="F74" i="23"/>
  <c r="J74" i="23"/>
  <c r="D13" i="32"/>
  <c r="D12" i="1"/>
  <c r="F13" i="1"/>
  <c r="E13" i="1"/>
  <c r="E20" i="11"/>
  <c r="E14" i="11"/>
  <c r="F20" i="11"/>
  <c r="F30" i="11"/>
  <c r="E33" i="11"/>
  <c r="F28" i="19"/>
  <c r="F32" i="19"/>
  <c r="F45" i="19"/>
  <c r="D61" i="19"/>
  <c r="E27" i="32"/>
  <c r="G28" i="32"/>
  <c r="F28" i="32"/>
  <c r="D21" i="12"/>
  <c r="D20" i="12" s="1"/>
  <c r="I5" i="12" s="1"/>
  <c r="F24" i="12"/>
  <c r="C48" i="12"/>
  <c r="F48" i="12" s="1"/>
  <c r="E56" i="13"/>
  <c r="F27" i="23"/>
  <c r="F60" i="23"/>
  <c r="K60" i="23"/>
  <c r="F67" i="23"/>
  <c r="J67" i="23"/>
  <c r="J78" i="23"/>
  <c r="F78" i="23"/>
  <c r="I102" i="23"/>
  <c r="L102" i="23"/>
  <c r="C36" i="3"/>
  <c r="D32" i="3"/>
  <c r="D13" i="3" s="1"/>
  <c r="D12" i="3" s="1"/>
  <c r="D11" i="3" s="1"/>
  <c r="D10" i="3" s="1"/>
  <c r="C10" i="10"/>
  <c r="C9" i="10" s="1"/>
  <c r="D105" i="19"/>
  <c r="F26" i="12"/>
  <c r="F29" i="12"/>
  <c r="F39" i="12"/>
  <c r="G49" i="12"/>
  <c r="F10" i="13"/>
  <c r="C68" i="24"/>
  <c r="D21" i="24" s="1"/>
  <c r="E36" i="24"/>
  <c r="E34" i="24" s="1"/>
  <c r="E33" i="24" s="1"/>
  <c r="E26" i="24" s="1"/>
  <c r="D47" i="24"/>
  <c r="D45" i="24" s="1"/>
  <c r="D43" i="24"/>
  <c r="J50" i="23"/>
  <c r="F50" i="23"/>
  <c r="F52" i="23"/>
  <c r="J52" i="23"/>
  <c r="F65" i="23"/>
  <c r="J65" i="23"/>
  <c r="I14" i="23"/>
  <c r="H14" i="23"/>
  <c r="F13" i="23"/>
  <c r="E31" i="11"/>
  <c r="E34" i="11"/>
  <c r="F11" i="10"/>
  <c r="F22" i="10"/>
  <c r="H22" i="10" s="1"/>
  <c r="F26" i="19"/>
  <c r="J31" i="23"/>
  <c r="F31" i="23"/>
  <c r="E46" i="19"/>
  <c r="E54" i="19"/>
  <c r="G10" i="12"/>
  <c r="I23" i="23"/>
  <c r="G29" i="12"/>
  <c r="F36" i="12"/>
  <c r="E12" i="22"/>
  <c r="E30" i="22"/>
  <c r="C38" i="22"/>
  <c r="F73" i="22"/>
  <c r="E73" i="22"/>
  <c r="E81" i="22"/>
  <c r="E48" i="24"/>
  <c r="E47" i="24" s="1"/>
  <c r="E45" i="24" s="1"/>
  <c r="C13" i="14"/>
  <c r="L58" i="23"/>
  <c r="I58" i="23"/>
  <c r="G68" i="23"/>
  <c r="D66" i="23"/>
  <c r="F82" i="23"/>
  <c r="J82" i="23"/>
  <c r="J86" i="23"/>
  <c r="G85" i="23"/>
  <c r="F86" i="23"/>
  <c r="F54" i="23"/>
  <c r="J54" i="23"/>
  <c r="E10" i="10"/>
  <c r="F28" i="23"/>
  <c r="J28" i="23"/>
  <c r="C34" i="12"/>
  <c r="C35" i="22" s="1"/>
  <c r="O105" i="3"/>
  <c r="F40" i="23"/>
  <c r="J40" i="23"/>
  <c r="H40" i="13"/>
  <c r="H56" i="13"/>
  <c r="E17" i="22"/>
  <c r="E24" i="22"/>
  <c r="F30" i="22"/>
  <c r="F67" i="22"/>
  <c r="D74" i="22"/>
  <c r="E86" i="22"/>
  <c r="E85" i="22" s="1"/>
  <c r="E101" i="22"/>
  <c r="D69" i="24"/>
  <c r="E69" i="24" s="1"/>
  <c r="L20" i="23"/>
  <c r="I20" i="23"/>
  <c r="F53" i="23"/>
  <c r="J53" i="23"/>
  <c r="G62" i="23"/>
  <c r="F63" i="23"/>
  <c r="J63" i="23"/>
  <c r="L76" i="23"/>
  <c r="I76" i="23"/>
  <c r="C11" i="32"/>
  <c r="C10" i="32" s="1"/>
  <c r="E10" i="11"/>
  <c r="D13" i="11"/>
  <c r="F49" i="22"/>
  <c r="C101" i="22"/>
  <c r="C100" i="22" s="1"/>
  <c r="E102" i="22"/>
  <c r="G45" i="23"/>
  <c r="F46" i="23"/>
  <c r="J46" i="23"/>
  <c r="J48" i="23"/>
  <c r="F48" i="23"/>
  <c r="L51" i="23"/>
  <c r="I51" i="23"/>
  <c r="F69" i="23"/>
  <c r="J69" i="23"/>
  <c r="D89" i="23"/>
  <c r="D88" i="23" s="1"/>
  <c r="D106" i="22"/>
  <c r="C67" i="24"/>
  <c r="D17" i="1"/>
  <c r="G15" i="14"/>
  <c r="L15" i="14" s="1"/>
  <c r="L47" i="23"/>
  <c r="L55" i="23"/>
  <c r="F80" i="23"/>
  <c r="J80" i="23"/>
  <c r="F84" i="23"/>
  <c r="K15" i="3"/>
  <c r="C45" i="3"/>
  <c r="C56" i="3"/>
  <c r="C64" i="5"/>
  <c r="E75" i="3"/>
  <c r="C75" i="3" s="1"/>
  <c r="C83" i="5"/>
  <c r="E95" i="3"/>
  <c r="C95" i="3" s="1"/>
  <c r="G11" i="32"/>
  <c r="F11" i="32"/>
  <c r="G33" i="32"/>
  <c r="F33" i="32"/>
  <c r="G90" i="23"/>
  <c r="J91" i="23"/>
  <c r="D38" i="22"/>
  <c r="C86" i="22"/>
  <c r="C85" i="22" s="1"/>
  <c r="F85" i="22" s="1"/>
  <c r="D100" i="22"/>
  <c r="E100" i="22" s="1"/>
  <c r="C107" i="22"/>
  <c r="C106" i="22" s="1"/>
  <c r="C105" i="22" s="1"/>
  <c r="C34" i="24"/>
  <c r="C33" i="24" s="1"/>
  <c r="C26" i="24" s="1"/>
  <c r="E37" i="24"/>
  <c r="E11" i="1"/>
  <c r="D21" i="1"/>
  <c r="E32" i="1"/>
  <c r="G13" i="14"/>
  <c r="L13" i="14" s="1"/>
  <c r="F16" i="23"/>
  <c r="L16" i="23" s="1"/>
  <c r="H36" i="23"/>
  <c r="H35" i="23" s="1"/>
  <c r="F73" i="23"/>
  <c r="F91" i="23"/>
  <c r="F93" i="23"/>
  <c r="G99" i="23"/>
  <c r="D96" i="23"/>
  <c r="C18" i="3"/>
  <c r="C42" i="3"/>
  <c r="C48" i="3"/>
  <c r="R10" i="5"/>
  <c r="D42" i="2"/>
  <c r="C47" i="24"/>
  <c r="C45" i="24" s="1"/>
  <c r="F11" i="1"/>
  <c r="I19" i="23"/>
  <c r="D45" i="23"/>
  <c r="D44" i="23" s="1"/>
  <c r="I95" i="23"/>
  <c r="F94" i="23"/>
  <c r="I97" i="23"/>
  <c r="L101" i="23"/>
  <c r="I101" i="23"/>
  <c r="F25" i="2"/>
  <c r="E25" i="2"/>
  <c r="F32" i="2"/>
  <c r="C33" i="3"/>
  <c r="N74" i="3"/>
  <c r="C74" i="3" s="1"/>
  <c r="P60" i="3"/>
  <c r="AG19" i="20"/>
  <c r="AP19" i="20"/>
  <c r="R19" i="20"/>
  <c r="AF19" i="20" s="1"/>
  <c r="IS35" i="1"/>
  <c r="G77" i="23"/>
  <c r="G71" i="23" s="1"/>
  <c r="F81" i="23"/>
  <c r="F83" i="23"/>
  <c r="F87" i="23"/>
  <c r="H96" i="23"/>
  <c r="H89" i="23" s="1"/>
  <c r="H88" i="23" s="1"/>
  <c r="F10" i="2"/>
  <c r="E10" i="2"/>
  <c r="U12" i="5"/>
  <c r="U11" i="5" s="1"/>
  <c r="U10" i="5" s="1"/>
  <c r="M16" i="3"/>
  <c r="K16" i="3" s="1"/>
  <c r="C16" i="3" s="1"/>
  <c r="C44" i="5"/>
  <c r="E46" i="3"/>
  <c r="C46" i="3" s="1"/>
  <c r="E44" i="9"/>
  <c r="D45" i="9"/>
  <c r="C45" i="9" s="1"/>
  <c r="C44" i="9" s="1"/>
  <c r="D10" i="1"/>
  <c r="C12" i="1"/>
  <c r="C10" i="1" s="1"/>
  <c r="G17" i="32"/>
  <c r="F17" i="32"/>
  <c r="C20" i="1"/>
  <c r="L75" i="23"/>
  <c r="L79" i="23"/>
  <c r="I79" i="23"/>
  <c r="L95" i="23"/>
  <c r="L97" i="23"/>
  <c r="J101" i="23"/>
  <c r="F34" i="2"/>
  <c r="E34" i="2"/>
  <c r="O10" i="3"/>
  <c r="C19" i="3"/>
  <c r="C21" i="3"/>
  <c r="C31" i="3"/>
  <c r="C49" i="3"/>
  <c r="E39" i="22"/>
  <c r="E16" i="1"/>
  <c r="E27" i="1"/>
  <c r="F32" i="32"/>
  <c r="G32" i="32"/>
  <c r="E89" i="23"/>
  <c r="E88" i="23" s="1"/>
  <c r="E43" i="23" s="1"/>
  <c r="E41" i="23" s="1"/>
  <c r="E39" i="23" s="1"/>
  <c r="E34" i="23" s="1"/>
  <c r="E10" i="23" s="1"/>
  <c r="G92" i="23"/>
  <c r="F100" i="23"/>
  <c r="C30" i="2"/>
  <c r="C12" i="2" s="1"/>
  <c r="C11" i="2" s="1"/>
  <c r="C9" i="2" s="1"/>
  <c r="F35" i="2"/>
  <c r="E35" i="2"/>
  <c r="Q13" i="3"/>
  <c r="Q12" i="3" s="1"/>
  <c r="Q11" i="3" s="1"/>
  <c r="Q10" i="3" s="1"/>
  <c r="D49" i="2" s="1"/>
  <c r="C39" i="3"/>
  <c r="C78" i="3"/>
  <c r="N60" i="3"/>
  <c r="C33" i="5"/>
  <c r="E35" i="3"/>
  <c r="C35" i="3" s="1"/>
  <c r="D85" i="23"/>
  <c r="D13" i="5"/>
  <c r="N12" i="5"/>
  <c r="N11" i="5" s="1"/>
  <c r="C69" i="5"/>
  <c r="C79" i="5"/>
  <c r="E90" i="3"/>
  <c r="C90" i="3" s="1"/>
  <c r="R21" i="20"/>
  <c r="AF21" i="20" s="1"/>
  <c r="P14" i="3"/>
  <c r="M32" i="3"/>
  <c r="N34" i="3"/>
  <c r="P13" i="5"/>
  <c r="P12" i="5" s="1"/>
  <c r="P11" i="5" s="1"/>
  <c r="P10" i="5" s="1"/>
  <c r="D22" i="5"/>
  <c r="D41" i="5"/>
  <c r="C61" i="5"/>
  <c r="C75" i="5"/>
  <c r="E86" i="3"/>
  <c r="C86" i="3" s="1"/>
  <c r="L10" i="36"/>
  <c r="C29" i="32"/>
  <c r="C27" i="32" s="1"/>
  <c r="C35" i="32" s="1"/>
  <c r="C34" i="32" s="1"/>
  <c r="D30" i="5"/>
  <c r="C71" i="5"/>
  <c r="E82" i="3"/>
  <c r="C82" i="3" s="1"/>
  <c r="D69" i="5"/>
  <c r="AF20" i="20"/>
  <c r="L13" i="15"/>
  <c r="T108" i="8"/>
  <c r="E48" i="9"/>
  <c r="M60" i="3"/>
  <c r="D27" i="5"/>
  <c r="Q49" i="5"/>
  <c r="AA16" i="20"/>
  <c r="AM16" i="20" s="1"/>
  <c r="S18" i="20"/>
  <c r="U16" i="20"/>
  <c r="C10" i="25"/>
  <c r="G14" i="23" s="1"/>
  <c r="C14" i="5"/>
  <c r="R22" i="20"/>
  <c r="AF22" i="20" s="1"/>
  <c r="AG22" i="20"/>
  <c r="AP22" i="20"/>
  <c r="C7" i="33"/>
  <c r="E62" i="3"/>
  <c r="C62" i="3" s="1"/>
  <c r="E11" i="5"/>
  <c r="M11" i="5"/>
  <c r="M10" i="25"/>
  <c r="D22" i="2" s="1"/>
  <c r="D23" i="5"/>
  <c r="K16" i="20"/>
  <c r="AL16" i="20" s="1"/>
  <c r="C19" i="20"/>
  <c r="C16" i="20" s="1"/>
  <c r="AM19" i="20"/>
  <c r="E20" i="33"/>
  <c r="E7" i="33"/>
  <c r="G35" i="9"/>
  <c r="G14" i="9" s="1"/>
  <c r="G13" i="9" s="1"/>
  <c r="G12" i="9" s="1"/>
  <c r="C36" i="9"/>
  <c r="C35" i="9" s="1"/>
  <c r="C14" i="9" s="1"/>
  <c r="C13" i="9" s="1"/>
  <c r="C17" i="8"/>
  <c r="D12" i="8"/>
  <c r="E19" i="7"/>
  <c r="C19" i="7" s="1"/>
  <c r="V17" i="8"/>
  <c r="C33" i="8"/>
  <c r="E35" i="7"/>
  <c r="C35" i="7" s="1"/>
  <c r="V33" i="8"/>
  <c r="V101" i="8"/>
  <c r="C101" i="8"/>
  <c r="E110" i="7" s="1"/>
  <c r="C110" i="7" s="1"/>
  <c r="D84" i="5"/>
  <c r="M16" i="20"/>
  <c r="R17" i="20"/>
  <c r="AG21" i="20"/>
  <c r="AG24" i="20"/>
  <c r="L21" i="15"/>
  <c r="F14" i="9"/>
  <c r="F13" i="9" s="1"/>
  <c r="C34" i="7"/>
  <c r="D32" i="7"/>
  <c r="C22" i="8"/>
  <c r="V22" i="8"/>
  <c r="Q30" i="5"/>
  <c r="Q11" i="5" s="1"/>
  <c r="E23" i="33"/>
  <c r="Y16" i="16"/>
  <c r="C10" i="6"/>
  <c r="AP25" i="20"/>
  <c r="C21" i="32"/>
  <c r="G21" i="32" s="1"/>
  <c r="C18" i="16"/>
  <c r="C26" i="16"/>
  <c r="F43" i="9"/>
  <c r="E14" i="7"/>
  <c r="C16" i="7"/>
  <c r="C11" i="39"/>
  <c r="C10" i="39" s="1"/>
  <c r="C46" i="8"/>
  <c r="V46" i="8"/>
  <c r="C56" i="9"/>
  <c r="C55" i="9" s="1"/>
  <c r="C13" i="6"/>
  <c r="C97" i="7"/>
  <c r="D51" i="7"/>
  <c r="C20" i="8"/>
  <c r="E22" i="7"/>
  <c r="C22" i="7" s="1"/>
  <c r="V20" i="8"/>
  <c r="C36" i="8"/>
  <c r="V36" i="8"/>
  <c r="E38" i="7"/>
  <c r="C38" i="7" s="1"/>
  <c r="C62" i="8"/>
  <c r="E64" i="7"/>
  <c r="C64" i="7" s="1"/>
  <c r="V62" i="8"/>
  <c r="D97" i="8"/>
  <c r="C24" i="16"/>
  <c r="D83" i="9"/>
  <c r="D54" i="9" s="1"/>
  <c r="D52" i="9" s="1"/>
  <c r="D48" i="9" s="1"/>
  <c r="C84" i="9"/>
  <c r="C83" i="9" s="1"/>
  <c r="L13" i="7"/>
  <c r="L12" i="7" s="1"/>
  <c r="L11" i="7" s="1"/>
  <c r="L10" i="7" s="1"/>
  <c r="V29" i="8"/>
  <c r="C29" i="8"/>
  <c r="E31" i="7"/>
  <c r="C31" i="7" s="1"/>
  <c r="D98" i="9"/>
  <c r="D15" i="7"/>
  <c r="I12" i="8"/>
  <c r="I11" i="8" s="1"/>
  <c r="I10" i="8" s="1"/>
  <c r="C34" i="6" s="1"/>
  <c r="C29" i="6" s="1"/>
  <c r="C11" i="6" s="1"/>
  <c r="V56" i="8"/>
  <c r="C56" i="8"/>
  <c r="V72" i="8"/>
  <c r="C72" i="8"/>
  <c r="V85" i="8"/>
  <c r="E87" i="7"/>
  <c r="C87" i="7" s="1"/>
  <c r="V92" i="8"/>
  <c r="C92" i="8"/>
  <c r="V105" i="8"/>
  <c r="C105" i="8"/>
  <c r="E114" i="7" s="1"/>
  <c r="C114" i="7" s="1"/>
  <c r="L11" i="30"/>
  <c r="C18" i="8"/>
  <c r="D30" i="8"/>
  <c r="V30" i="8" s="1"/>
  <c r="C34" i="8"/>
  <c r="V37" i="8"/>
  <c r="C37" i="8"/>
  <c r="V43" i="8"/>
  <c r="C47" i="8"/>
  <c r="E52" i="7"/>
  <c r="C52" i="7" s="1"/>
  <c r="V50" i="8"/>
  <c r="C57" i="8"/>
  <c r="C73" i="8"/>
  <c r="V82" i="8"/>
  <c r="C82" i="8"/>
  <c r="E84" i="7"/>
  <c r="C84" i="7" s="1"/>
  <c r="V96" i="8"/>
  <c r="C10" i="21"/>
  <c r="U10" i="31"/>
  <c r="AS10" i="31"/>
  <c r="P14" i="38"/>
  <c r="C15" i="8"/>
  <c r="C12" i="8" s="1"/>
  <c r="C31" i="8"/>
  <c r="C38" i="8"/>
  <c r="C41" i="8"/>
  <c r="C44" i="8"/>
  <c r="C83" i="8"/>
  <c r="V86" i="8"/>
  <c r="E88" i="7"/>
  <c r="C88" i="7" s="1"/>
  <c r="V93" i="8"/>
  <c r="E95" i="7"/>
  <c r="C95" i="7" s="1"/>
  <c r="F10" i="37"/>
  <c r="R26" i="38"/>
  <c r="L11" i="8"/>
  <c r="L10" i="8" s="1"/>
  <c r="C37" i="6" s="1"/>
  <c r="C54" i="8"/>
  <c r="E56" i="7"/>
  <c r="C56" i="7" s="1"/>
  <c r="C70" i="8"/>
  <c r="C49" i="8" s="1"/>
  <c r="E72" i="7"/>
  <c r="C98" i="8"/>
  <c r="E107" i="7" s="1"/>
  <c r="C107" i="7" s="1"/>
  <c r="V98" i="8"/>
  <c r="G10" i="37"/>
  <c r="H14" i="38"/>
  <c r="H13" i="38" s="1"/>
  <c r="H12" i="38" s="1"/>
  <c r="R14" i="38"/>
  <c r="E33" i="7"/>
  <c r="E40" i="7"/>
  <c r="C40" i="7" s="1"/>
  <c r="C25" i="8"/>
  <c r="C28" i="8"/>
  <c r="V54" i="8"/>
  <c r="V64" i="8"/>
  <c r="C64" i="8"/>
  <c r="V70" i="8"/>
  <c r="C99" i="8"/>
  <c r="E108" i="7" s="1"/>
  <c r="C108" i="7" s="1"/>
  <c r="V99" i="8"/>
  <c r="C16" i="29"/>
  <c r="C21" i="30"/>
  <c r="D19" i="29"/>
  <c r="V16" i="8"/>
  <c r="C16" i="8"/>
  <c r="V32" i="8"/>
  <c r="C32" i="8"/>
  <c r="V45" i="8"/>
  <c r="E47" i="7"/>
  <c r="C47" i="7" s="1"/>
  <c r="C45" i="8"/>
  <c r="E60" i="7"/>
  <c r="C60" i="7" s="1"/>
  <c r="V58" i="8"/>
  <c r="E76" i="7"/>
  <c r="C76" i="7" s="1"/>
  <c r="V74" i="8"/>
  <c r="V100" i="8"/>
  <c r="C100" i="8"/>
  <c r="E109" i="7" s="1"/>
  <c r="C109" i="7" s="1"/>
  <c r="D10" i="17"/>
  <c r="J13" i="17"/>
  <c r="J10" i="17" s="1"/>
  <c r="J14" i="38"/>
  <c r="J13" i="38" s="1"/>
  <c r="J12" i="38" s="1"/>
  <c r="U14" i="38"/>
  <c r="U13" i="38" s="1"/>
  <c r="U12" i="38" s="1"/>
  <c r="O14" i="38"/>
  <c r="L10" i="37"/>
  <c r="O26" i="38"/>
  <c r="X11" i="30"/>
  <c r="AA10" i="31"/>
  <c r="AY10" i="31"/>
  <c r="H12" i="37"/>
  <c r="M12" i="37" s="1"/>
  <c r="H16" i="37"/>
  <c r="M16" i="37" s="1"/>
  <c r="H20" i="37"/>
  <c r="M20" i="37" s="1"/>
  <c r="H24" i="37"/>
  <c r="M24" i="37" s="1"/>
  <c r="T13" i="38"/>
  <c r="T12" i="38" s="1"/>
  <c r="P91" i="38"/>
  <c r="P59" i="38" s="1"/>
  <c r="O91" i="38"/>
  <c r="O59" i="38" s="1"/>
  <c r="C16" i="30"/>
  <c r="D14" i="29"/>
  <c r="C14" i="29" s="1"/>
  <c r="K57" i="38"/>
  <c r="K56" i="38" s="1"/>
  <c r="K26" i="38" s="1"/>
  <c r="K14" i="38" s="1"/>
  <c r="K13" i="38" s="1"/>
  <c r="K12" i="38" s="1"/>
  <c r="N56" i="38"/>
  <c r="N26" i="38" s="1"/>
  <c r="N14" i="38" s="1"/>
  <c r="N13" i="38" s="1"/>
  <c r="N12" i="38" s="1"/>
  <c r="D10" i="21"/>
  <c r="D12" i="29"/>
  <c r="C12" i="29" s="1"/>
  <c r="C20" i="30"/>
  <c r="C16" i="31"/>
  <c r="F15" i="29" s="1"/>
  <c r="E15" i="29" s="1"/>
  <c r="G17" i="29"/>
  <c r="F17" i="29" s="1"/>
  <c r="E17" i="29" s="1"/>
  <c r="C17" i="29" s="1"/>
  <c r="H11" i="37"/>
  <c r="C10" i="37"/>
  <c r="H15" i="37"/>
  <c r="M15" i="37" s="1"/>
  <c r="H19" i="37"/>
  <c r="M19" i="37" s="1"/>
  <c r="H23" i="37"/>
  <c r="M23" i="37" s="1"/>
  <c r="H27" i="37"/>
  <c r="M27" i="37" s="1"/>
  <c r="S28" i="38"/>
  <c r="S27" i="38" s="1"/>
  <c r="S26" i="38" s="1"/>
  <c r="S14" i="38" s="1"/>
  <c r="V35" i="38"/>
  <c r="S77" i="38"/>
  <c r="R91" i="38"/>
  <c r="R59" i="38" s="1"/>
  <c r="G91" i="38"/>
  <c r="G59" i="38" s="1"/>
  <c r="G13" i="38" s="1"/>
  <c r="G12" i="38" s="1"/>
  <c r="F10" i="29"/>
  <c r="F19" i="29"/>
  <c r="E19" i="29" s="1"/>
  <c r="D10" i="37"/>
  <c r="V26" i="38"/>
  <c r="V14" i="38" s="1"/>
  <c r="V13" i="38" s="1"/>
  <c r="V12" i="38" s="1"/>
  <c r="G9" i="29"/>
  <c r="F14" i="29"/>
  <c r="E14" i="29" s="1"/>
  <c r="H14" i="37"/>
  <c r="M14" i="37" s="1"/>
  <c r="H18" i="37"/>
  <c r="M18" i="37" s="1"/>
  <c r="H22" i="37"/>
  <c r="M22" i="37" s="1"/>
  <c r="H26" i="37"/>
  <c r="M26" i="37" s="1"/>
  <c r="K91" i="38"/>
  <c r="K59" i="38" s="1"/>
  <c r="E9" i="34"/>
  <c r="C15" i="29"/>
  <c r="D13" i="29"/>
  <c r="C15" i="30"/>
  <c r="C11" i="30" s="1"/>
  <c r="D10" i="31"/>
  <c r="D23" i="31" s="1"/>
  <c r="F10" i="31"/>
  <c r="C11" i="29"/>
  <c r="D11" i="30"/>
  <c r="E11" i="30"/>
  <c r="AA11" i="30"/>
  <c r="I10" i="31"/>
  <c r="AG10" i="31"/>
  <c r="G13" i="29"/>
  <c r="F13" i="29" s="1"/>
  <c r="E13" i="29" s="1"/>
  <c r="H13" i="37"/>
  <c r="M13" i="37" s="1"/>
  <c r="H17" i="37"/>
  <c r="M17" i="37" s="1"/>
  <c r="H21" i="37"/>
  <c r="M21" i="37" s="1"/>
  <c r="H25" i="37"/>
  <c r="M25" i="37" s="1"/>
  <c r="Q26" i="38"/>
  <c r="Q14" i="38" s="1"/>
  <c r="Q13" i="38" s="1"/>
  <c r="Q12" i="38" s="1"/>
  <c r="S57" i="38"/>
  <c r="S56" i="38" s="1"/>
  <c r="S100" i="38"/>
  <c r="S99" i="38" s="1"/>
  <c r="S94" i="38"/>
  <c r="S92" i="38" s="1"/>
  <c r="S91" i="38" s="1"/>
  <c r="E10" i="34"/>
  <c r="D25" i="34"/>
  <c r="E25" i="34" s="1"/>
  <c r="K88" i="23" l="1"/>
  <c r="H43" i="23"/>
  <c r="S75" i="38"/>
  <c r="S13" i="38" s="1"/>
  <c r="S12" i="38" s="1"/>
  <c r="G70" i="23"/>
  <c r="J70" i="23" s="1"/>
  <c r="J71" i="23"/>
  <c r="Q10" i="5"/>
  <c r="D41" i="2"/>
  <c r="L84" i="23"/>
  <c r="I84" i="23"/>
  <c r="L67" i="23"/>
  <c r="I67" i="23"/>
  <c r="D105" i="22"/>
  <c r="E105" i="22" s="1"/>
  <c r="E106" i="22"/>
  <c r="E13" i="11"/>
  <c r="D9" i="11"/>
  <c r="F13" i="11"/>
  <c r="F62" i="23"/>
  <c r="L63" i="23"/>
  <c r="I63" i="23"/>
  <c r="E9" i="10"/>
  <c r="G9" i="10" s="1"/>
  <c r="G10" i="10"/>
  <c r="I82" i="23"/>
  <c r="L82" i="23"/>
  <c r="L13" i="23"/>
  <c r="F12" i="23"/>
  <c r="I13" i="23"/>
  <c r="L52" i="23"/>
  <c r="I52" i="23"/>
  <c r="F12" i="1"/>
  <c r="E12" i="1"/>
  <c r="L98" i="23"/>
  <c r="I98" i="23"/>
  <c r="E54" i="22"/>
  <c r="L57" i="23"/>
  <c r="I57" i="23"/>
  <c r="C30" i="8"/>
  <c r="C11" i="8" s="1"/>
  <c r="C10" i="8" s="1"/>
  <c r="D14" i="7"/>
  <c r="D13" i="7" s="1"/>
  <c r="D12" i="7" s="1"/>
  <c r="D11" i="7" s="1"/>
  <c r="D10" i="7" s="1"/>
  <c r="C15" i="7"/>
  <c r="C14" i="7" s="1"/>
  <c r="E96" i="3"/>
  <c r="C96" i="3" s="1"/>
  <c r="C84" i="5"/>
  <c r="C49" i="5" s="1"/>
  <c r="D11" i="8"/>
  <c r="V12" i="8"/>
  <c r="M10" i="5"/>
  <c r="D39" i="2"/>
  <c r="C27" i="5"/>
  <c r="E29" i="3"/>
  <c r="C29" i="3" s="1"/>
  <c r="C13" i="5"/>
  <c r="D12" i="5"/>
  <c r="D11" i="5" s="1"/>
  <c r="D10" i="5" s="1"/>
  <c r="E15" i="3"/>
  <c r="I80" i="23"/>
  <c r="L80" i="23"/>
  <c r="F45" i="23"/>
  <c r="L46" i="23"/>
  <c r="I46" i="23"/>
  <c r="G61" i="23"/>
  <c r="J61" i="23" s="1"/>
  <c r="J62" i="23"/>
  <c r="E74" i="22"/>
  <c r="F74" i="22"/>
  <c r="D52" i="22"/>
  <c r="L40" i="23"/>
  <c r="I40" i="23"/>
  <c r="E107" i="22"/>
  <c r="L31" i="23"/>
  <c r="I31" i="23"/>
  <c r="K14" i="23"/>
  <c r="H13" i="23"/>
  <c r="L50" i="23"/>
  <c r="I50" i="23"/>
  <c r="L60" i="23"/>
  <c r="I60" i="23"/>
  <c r="G13" i="32"/>
  <c r="F13" i="32"/>
  <c r="L49" i="23"/>
  <c r="I49" i="23"/>
  <c r="L73" i="23"/>
  <c r="I73" i="23"/>
  <c r="C66" i="24"/>
  <c r="C63" i="24" s="1"/>
  <c r="C64" i="24" s="1"/>
  <c r="D20" i="24"/>
  <c r="F49" i="2"/>
  <c r="D22" i="1"/>
  <c r="E49" i="2"/>
  <c r="I94" i="23"/>
  <c r="L94" i="23"/>
  <c r="R13" i="38"/>
  <c r="R12" i="38" s="1"/>
  <c r="P13" i="38"/>
  <c r="P12" i="38" s="1"/>
  <c r="C54" i="9"/>
  <c r="C52" i="9" s="1"/>
  <c r="C48" i="9" s="1"/>
  <c r="C43" i="9" s="1"/>
  <c r="C12" i="9" s="1"/>
  <c r="F12" i="9"/>
  <c r="E10" i="5"/>
  <c r="D31" i="2"/>
  <c r="J14" i="23"/>
  <c r="G13" i="23"/>
  <c r="E80" i="3"/>
  <c r="D49" i="5"/>
  <c r="D44" i="9"/>
  <c r="D43" i="9" s="1"/>
  <c r="D12" i="9" s="1"/>
  <c r="E43" i="9"/>
  <c r="E12" i="9" s="1"/>
  <c r="D43" i="23"/>
  <c r="D41" i="23" s="1"/>
  <c r="D39" i="23" s="1"/>
  <c r="G44" i="23"/>
  <c r="J45" i="23"/>
  <c r="J68" i="23"/>
  <c r="F68" i="23"/>
  <c r="F106" i="23"/>
  <c r="E104" i="19"/>
  <c r="G41" i="12"/>
  <c r="F41" i="12"/>
  <c r="E51" i="7"/>
  <c r="C72" i="7"/>
  <c r="C51" i="7" s="1"/>
  <c r="L87" i="23"/>
  <c r="I87" i="23"/>
  <c r="E38" i="22"/>
  <c r="E38" i="12"/>
  <c r="L69" i="23"/>
  <c r="I69" i="23"/>
  <c r="C20" i="32"/>
  <c r="L53" i="23"/>
  <c r="I53" i="23"/>
  <c r="N105" i="3"/>
  <c r="C105" i="3" s="1"/>
  <c r="D52" i="2"/>
  <c r="L54" i="23"/>
  <c r="I54" i="23"/>
  <c r="L14" i="23"/>
  <c r="E43" i="24"/>
  <c r="E42" i="24" s="1"/>
  <c r="E41" i="24" s="1"/>
  <c r="D42" i="24"/>
  <c r="D41" i="24" s="1"/>
  <c r="L78" i="23"/>
  <c r="I78" i="23"/>
  <c r="L27" i="23"/>
  <c r="I27" i="23"/>
  <c r="I74" i="23"/>
  <c r="L74" i="23"/>
  <c r="C53" i="22"/>
  <c r="F54" i="22"/>
  <c r="G21" i="12"/>
  <c r="D14" i="32"/>
  <c r="D12" i="32" s="1"/>
  <c r="D10" i="32" s="1"/>
  <c r="F14" i="1"/>
  <c r="E14" i="1"/>
  <c r="F10" i="19"/>
  <c r="E10" i="19"/>
  <c r="L28" i="23"/>
  <c r="I28" i="23"/>
  <c r="O13" i="38"/>
  <c r="O12" i="38" s="1"/>
  <c r="E32" i="7"/>
  <c r="E13" i="7" s="1"/>
  <c r="E12" i="7" s="1"/>
  <c r="E11" i="7" s="1"/>
  <c r="E10" i="7" s="1"/>
  <c r="C33" i="7"/>
  <c r="C32" i="7" s="1"/>
  <c r="E10" i="29"/>
  <c r="F9" i="29"/>
  <c r="C97" i="8"/>
  <c r="V97" i="8"/>
  <c r="E106" i="7"/>
  <c r="C106" i="7" s="1"/>
  <c r="C23" i="5"/>
  <c r="E25" i="3"/>
  <c r="C25" i="3" s="1"/>
  <c r="F21" i="32"/>
  <c r="L100" i="23"/>
  <c r="I100" i="23"/>
  <c r="I83" i="23"/>
  <c r="L83" i="23"/>
  <c r="F99" i="23"/>
  <c r="J99" i="23"/>
  <c r="D29" i="1"/>
  <c r="D20" i="1"/>
  <c r="F21" i="1"/>
  <c r="E21" i="1"/>
  <c r="M14" i="3"/>
  <c r="M13" i="3" s="1"/>
  <c r="M12" i="3" s="1"/>
  <c r="M11" i="3" s="1"/>
  <c r="M10" i="3" s="1"/>
  <c r="I86" i="23"/>
  <c r="F85" i="23"/>
  <c r="L86" i="23"/>
  <c r="F107" i="23"/>
  <c r="E105" i="19"/>
  <c r="E35" i="32"/>
  <c r="F33" i="2"/>
  <c r="E33" i="2"/>
  <c r="AF17" i="20"/>
  <c r="T10" i="8"/>
  <c r="P122" i="7"/>
  <c r="C108" i="8"/>
  <c r="H10" i="13"/>
  <c r="F9" i="13"/>
  <c r="H9" i="13" s="1"/>
  <c r="C9" i="6"/>
  <c r="N10" i="5"/>
  <c r="D40" i="2"/>
  <c r="E10" i="1"/>
  <c r="F10" i="1"/>
  <c r="G89" i="23"/>
  <c r="J90" i="23"/>
  <c r="D9" i="29"/>
  <c r="C19" i="29"/>
  <c r="F22" i="2"/>
  <c r="E22" i="2"/>
  <c r="E14" i="2" s="1"/>
  <c r="E13" i="2" s="1"/>
  <c r="C41" i="5"/>
  <c r="C30" i="5" s="1"/>
  <c r="E43" i="3"/>
  <c r="C43" i="3" s="1"/>
  <c r="F92" i="23"/>
  <c r="J92" i="23"/>
  <c r="L81" i="23"/>
  <c r="I81" i="23"/>
  <c r="I93" i="23"/>
  <c r="L93" i="23"/>
  <c r="C34" i="3"/>
  <c r="K14" i="3"/>
  <c r="K13" i="3" s="1"/>
  <c r="K12" i="3" s="1"/>
  <c r="K11" i="3" s="1"/>
  <c r="K10" i="3" s="1"/>
  <c r="D51" i="2" s="1"/>
  <c r="J85" i="23"/>
  <c r="F21" i="12"/>
  <c r="H11" i="10"/>
  <c r="F10" i="10"/>
  <c r="G66" i="23"/>
  <c r="J66" i="23" s="1"/>
  <c r="D60" i="19"/>
  <c r="F60" i="19" s="1"/>
  <c r="F61" i="19"/>
  <c r="E61" i="19"/>
  <c r="E60" i="19" s="1"/>
  <c r="E44" i="19"/>
  <c r="E43" i="19" s="1"/>
  <c r="E42" i="19" s="1"/>
  <c r="L59" i="23"/>
  <c r="I59" i="23"/>
  <c r="D42" i="19"/>
  <c r="F43" i="19"/>
  <c r="G10" i="13"/>
  <c r="E9" i="13"/>
  <c r="G9" i="13" s="1"/>
  <c r="M11" i="37"/>
  <c r="M10" i="37" s="1"/>
  <c r="H10" i="37"/>
  <c r="C10" i="31"/>
  <c r="C13" i="29"/>
  <c r="R18" i="20"/>
  <c r="AF18" i="20" s="1"/>
  <c r="AG18" i="20"/>
  <c r="AP18" i="20"/>
  <c r="S16" i="20"/>
  <c r="AG16" i="20" s="1"/>
  <c r="C22" i="5"/>
  <c r="E24" i="3"/>
  <c r="C24" i="3" s="1"/>
  <c r="F77" i="23"/>
  <c r="J77" i="23"/>
  <c r="F42" i="2"/>
  <c r="E42" i="2"/>
  <c r="F90" i="23"/>
  <c r="L91" i="23"/>
  <c r="I91" i="23"/>
  <c r="D14" i="2"/>
  <c r="D18" i="32"/>
  <c r="E17" i="1"/>
  <c r="I48" i="23"/>
  <c r="L48" i="23"/>
  <c r="I65" i="23"/>
  <c r="L65" i="23"/>
  <c r="D68" i="24"/>
  <c r="E68" i="24" s="1"/>
  <c r="E21" i="24"/>
  <c r="W17" i="16"/>
  <c r="G56" i="13"/>
  <c r="D34" i="23"/>
  <c r="D10" i="23" s="1"/>
  <c r="D24" i="1"/>
  <c r="L33" i="23"/>
  <c r="L56" i="23"/>
  <c r="I56" i="23"/>
  <c r="J44" i="23" l="1"/>
  <c r="F20" i="1"/>
  <c r="E20" i="1"/>
  <c r="F31" i="2"/>
  <c r="E31" i="2"/>
  <c r="D30" i="2"/>
  <c r="G25" i="23"/>
  <c r="C12" i="5"/>
  <c r="C11" i="5" s="1"/>
  <c r="C10" i="5" s="1"/>
  <c r="F9" i="11"/>
  <c r="E9" i="11"/>
  <c r="E32" i="3"/>
  <c r="F40" i="2"/>
  <c r="E40" i="2"/>
  <c r="R16" i="20"/>
  <c r="AF16" i="20" s="1"/>
  <c r="H107" i="23"/>
  <c r="G107" i="23"/>
  <c r="D55" i="2" s="1"/>
  <c r="E55" i="2" s="1"/>
  <c r="D30" i="32"/>
  <c r="F29" i="1"/>
  <c r="E29" i="1"/>
  <c r="F38" i="12"/>
  <c r="E37" i="12"/>
  <c r="C13" i="7"/>
  <c r="C12" i="7" s="1"/>
  <c r="C11" i="7" s="1"/>
  <c r="F52" i="2"/>
  <c r="E52" i="2"/>
  <c r="D23" i="32"/>
  <c r="D21" i="32" s="1"/>
  <c r="D30" i="1"/>
  <c r="F22" i="1"/>
  <c r="E22" i="1"/>
  <c r="F44" i="23"/>
  <c r="L45" i="23"/>
  <c r="I45" i="23"/>
  <c r="N122" i="7"/>
  <c r="P10" i="7"/>
  <c r="C10" i="29"/>
  <c r="C9" i="29" s="1"/>
  <c r="E9" i="29"/>
  <c r="H10" i="10"/>
  <c r="F9" i="10"/>
  <c r="H9" i="10" s="1"/>
  <c r="D13" i="2"/>
  <c r="F14" i="2"/>
  <c r="L77" i="23"/>
  <c r="I77" i="23"/>
  <c r="I85" i="23"/>
  <c r="L85" i="23"/>
  <c r="L99" i="23"/>
  <c r="I99" i="23"/>
  <c r="F96" i="23"/>
  <c r="G106" i="23"/>
  <c r="D54" i="2" s="1"/>
  <c r="E54" i="2" s="1"/>
  <c r="K13" i="23"/>
  <c r="G52" i="22"/>
  <c r="D50" i="22"/>
  <c r="F39" i="2"/>
  <c r="E39" i="2"/>
  <c r="F18" i="32"/>
  <c r="G18" i="32"/>
  <c r="L68" i="23"/>
  <c r="I68" i="23"/>
  <c r="D19" i="24"/>
  <c r="D67" i="24"/>
  <c r="E20" i="24"/>
  <c r="F41" i="2"/>
  <c r="E41" i="2"/>
  <c r="D17" i="16"/>
  <c r="W16" i="16"/>
  <c r="C80" i="3"/>
  <c r="C60" i="3" s="1"/>
  <c r="E60" i="3"/>
  <c r="K43" i="23"/>
  <c r="H41" i="23"/>
  <c r="E51" i="2"/>
  <c r="F51" i="2"/>
  <c r="E34" i="32"/>
  <c r="G35" i="32"/>
  <c r="F35" i="32"/>
  <c r="F42" i="19"/>
  <c r="D40" i="19"/>
  <c r="D25" i="32"/>
  <c r="F24" i="1"/>
  <c r="E24" i="1"/>
  <c r="I90" i="23"/>
  <c r="F89" i="23"/>
  <c r="L90" i="23"/>
  <c r="I92" i="23"/>
  <c r="L92" i="23"/>
  <c r="G88" i="23"/>
  <c r="J88" i="23" s="1"/>
  <c r="J89" i="23"/>
  <c r="Q123" i="7"/>
  <c r="E53" i="22"/>
  <c r="E52" i="22" s="1"/>
  <c r="F53" i="22"/>
  <c r="C52" i="22"/>
  <c r="C50" i="22" s="1"/>
  <c r="C48" i="22" s="1"/>
  <c r="C37" i="22" s="1"/>
  <c r="C9" i="22" s="1"/>
  <c r="G9" i="22" s="1"/>
  <c r="C19" i="32"/>
  <c r="C19" i="1"/>
  <c r="C18" i="1" s="1"/>
  <c r="J13" i="23"/>
  <c r="F71" i="23"/>
  <c r="E14" i="3"/>
  <c r="C15" i="3"/>
  <c r="C14" i="3" s="1"/>
  <c r="V11" i="8"/>
  <c r="D10" i="8"/>
  <c r="F11" i="23"/>
  <c r="I12" i="23"/>
  <c r="F61" i="23"/>
  <c r="L62" i="23"/>
  <c r="I62" i="23"/>
  <c r="F66" i="23"/>
  <c r="E30" i="2" l="1"/>
  <c r="L89" i="23"/>
  <c r="I89" i="23"/>
  <c r="F88" i="23"/>
  <c r="L71" i="23"/>
  <c r="F70" i="23"/>
  <c r="I71" i="23"/>
  <c r="G34" i="32"/>
  <c r="F34" i="32"/>
  <c r="D31" i="32"/>
  <c r="F30" i="1"/>
  <c r="E30" i="1"/>
  <c r="C17" i="16"/>
  <c r="C16" i="16" s="1"/>
  <c r="D16" i="16"/>
  <c r="D28" i="1"/>
  <c r="L61" i="23"/>
  <c r="I61" i="23"/>
  <c r="I11" i="23"/>
  <c r="C122" i="7"/>
  <c r="C10" i="7" s="1"/>
  <c r="N10" i="7"/>
  <c r="G30" i="32"/>
  <c r="F30" i="32"/>
  <c r="E19" i="24"/>
  <c r="D16" i="24"/>
  <c r="G23" i="23"/>
  <c r="F30" i="2"/>
  <c r="C123" i="7"/>
  <c r="Q10" i="7"/>
  <c r="H106" i="23"/>
  <c r="E13" i="3"/>
  <c r="E12" i="3" s="1"/>
  <c r="E11" i="3" s="1"/>
  <c r="E10" i="3" s="1"/>
  <c r="F40" i="19"/>
  <c r="E40" i="19"/>
  <c r="D38" i="19"/>
  <c r="K41" i="23"/>
  <c r="H39" i="23"/>
  <c r="I96" i="23"/>
  <c r="L96" i="23"/>
  <c r="F13" i="2"/>
  <c r="D12" i="2"/>
  <c r="D11" i="2" s="1"/>
  <c r="G43" i="23"/>
  <c r="F50" i="22"/>
  <c r="E50" i="22"/>
  <c r="D48" i="22"/>
  <c r="I66" i="23"/>
  <c r="L66" i="23"/>
  <c r="D66" i="24"/>
  <c r="D63" i="24" s="1"/>
  <c r="D64" i="24" s="1"/>
  <c r="E67" i="24"/>
  <c r="E66" i="24" s="1"/>
  <c r="E63" i="24" s="1"/>
  <c r="F52" i="22"/>
  <c r="I44" i="23"/>
  <c r="L44" i="23"/>
  <c r="F43" i="23"/>
  <c r="E20" i="12"/>
  <c r="G37" i="12"/>
  <c r="E15" i="12"/>
  <c r="F37" i="12"/>
  <c r="J25" i="23"/>
  <c r="H25" i="23"/>
  <c r="K25" i="23" s="1"/>
  <c r="F48" i="22" l="1"/>
  <c r="E48" i="22"/>
  <c r="D37" i="22"/>
  <c r="L70" i="23"/>
  <c r="I70" i="23"/>
  <c r="P59" i="3"/>
  <c r="F41" i="23"/>
  <c r="I43" i="23"/>
  <c r="L43" i="23"/>
  <c r="K39" i="23"/>
  <c r="H34" i="23"/>
  <c r="K34" i="23" s="1"/>
  <c r="F20" i="12"/>
  <c r="G20" i="12"/>
  <c r="I88" i="23"/>
  <c r="L88" i="23"/>
  <c r="L25" i="23"/>
  <c r="G41" i="23"/>
  <c r="J43" i="23"/>
  <c r="F38" i="19"/>
  <c r="E38" i="19"/>
  <c r="D33" i="19"/>
  <c r="J23" i="23"/>
  <c r="H23" i="23"/>
  <c r="G12" i="23"/>
  <c r="D17" i="24"/>
  <c r="E16" i="24"/>
  <c r="G31" i="32"/>
  <c r="F31" i="32"/>
  <c r="F28" i="1"/>
  <c r="E28" i="1"/>
  <c r="D29" i="32"/>
  <c r="D26" i="1"/>
  <c r="E14" i="32"/>
  <c r="G15" i="12"/>
  <c r="F15" i="12"/>
  <c r="E13" i="12"/>
  <c r="F11" i="2"/>
  <c r="L41" i="23" l="1"/>
  <c r="I41" i="23"/>
  <c r="F39" i="23"/>
  <c r="N59" i="3"/>
  <c r="P32" i="3"/>
  <c r="P13" i="3" s="1"/>
  <c r="P12" i="3" s="1"/>
  <c r="P11" i="3" s="1"/>
  <c r="P10" i="3" s="1"/>
  <c r="D53" i="2" s="1"/>
  <c r="G13" i="12"/>
  <c r="F13" i="12"/>
  <c r="E9" i="12"/>
  <c r="G14" i="32"/>
  <c r="F14" i="32"/>
  <c r="E12" i="32"/>
  <c r="F37" i="22"/>
  <c r="E37" i="22"/>
  <c r="D9" i="22"/>
  <c r="K23" i="23"/>
  <c r="H12" i="23"/>
  <c r="F33" i="19"/>
  <c r="E33" i="19"/>
  <c r="E9" i="19" s="1"/>
  <c r="D9" i="19"/>
  <c r="G11" i="23"/>
  <c r="J12" i="23"/>
  <c r="J41" i="23"/>
  <c r="G39" i="23"/>
  <c r="F26" i="1"/>
  <c r="E26" i="1"/>
  <c r="F29" i="32"/>
  <c r="D27" i="32"/>
  <c r="G29" i="32"/>
  <c r="L23" i="23"/>
  <c r="H11" i="23" l="1"/>
  <c r="K12" i="23"/>
  <c r="L12" i="23"/>
  <c r="J39" i="23"/>
  <c r="G34" i="23"/>
  <c r="J34" i="23" s="1"/>
  <c r="G10" i="23"/>
  <c r="J11" i="23"/>
  <c r="L11" i="23"/>
  <c r="E9" i="22"/>
  <c r="F9" i="22"/>
  <c r="G9" i="19"/>
  <c r="F9" i="19"/>
  <c r="L39" i="23"/>
  <c r="I39" i="23"/>
  <c r="F34" i="23"/>
  <c r="F9" i="12"/>
  <c r="G9" i="12"/>
  <c r="J5" i="12"/>
  <c r="G27" i="32"/>
  <c r="F27" i="32"/>
  <c r="C59" i="3"/>
  <c r="C32" i="3" s="1"/>
  <c r="C13" i="3" s="1"/>
  <c r="C12" i="3" s="1"/>
  <c r="C11" i="3" s="1"/>
  <c r="C10" i="3" s="1"/>
  <c r="N32" i="3"/>
  <c r="N13" i="3" s="1"/>
  <c r="N12" i="3" s="1"/>
  <c r="N11" i="3" s="1"/>
  <c r="N10" i="3" s="1"/>
  <c r="F53" i="2"/>
  <c r="E53" i="2"/>
  <c r="D50" i="2"/>
  <c r="G12" i="32"/>
  <c r="F12" i="32"/>
  <c r="E10" i="32"/>
  <c r="G10" i="32" l="1"/>
  <c r="F10" i="32"/>
  <c r="E20" i="32"/>
  <c r="J10" i="23"/>
  <c r="D19" i="1"/>
  <c r="I34" i="23"/>
  <c r="L34" i="23"/>
  <c r="F10" i="23"/>
  <c r="F50" i="2"/>
  <c r="E50" i="2"/>
  <c r="E11" i="2" s="1"/>
  <c r="E9" i="2" s="1"/>
  <c r="D9" i="2"/>
  <c r="H10" i="23"/>
  <c r="K11" i="23"/>
  <c r="D20" i="32" l="1"/>
  <c r="D19" i="32" s="1"/>
  <c r="F19" i="1"/>
  <c r="D18" i="1"/>
  <c r="E19" i="1"/>
  <c r="F9" i="2"/>
  <c r="G10" i="2"/>
  <c r="G11" i="2" s="1"/>
  <c r="H4" i="2"/>
  <c r="I4" i="2" s="1"/>
  <c r="D34" i="1"/>
  <c r="K10" i="23"/>
  <c r="E19" i="32"/>
  <c r="G20" i="32"/>
  <c r="F20" i="32"/>
  <c r="I10" i="23"/>
  <c r="L10" i="23"/>
  <c r="G19" i="32" l="1"/>
  <c r="F19" i="32"/>
  <c r="D35" i="32"/>
  <c r="D34" i="32" s="1"/>
  <c r="D33" i="1"/>
  <c r="F34" i="1"/>
  <c r="E34" i="1"/>
  <c r="G18" i="1"/>
  <c r="H18" i="1" s="1"/>
  <c r="F18" i="1"/>
  <c r="E18" i="1"/>
  <c r="F33" i="1" l="1"/>
  <c r="E33" i="1"/>
  <c r="G26" i="1"/>
</calcChain>
</file>

<file path=xl/sharedStrings.xml><?xml version="1.0" encoding="utf-8"?>
<sst xmlns="http://schemas.openxmlformats.org/spreadsheetml/2006/main" count="4004" uniqueCount="1220">
  <si>
    <t>Biểu mẫu số 19</t>
  </si>
  <si>
    <t>ĐÁNH GIÁ CÂN ĐỐI NGUỒN THU, CHI NGÂN SÁCH CẤP TỈNH VÀ NGÂN SÁCH HUYỆN NĂM 2024</t>
  </si>
  <si>
    <t>Đơn vị: Triệu đồng</t>
  </si>
  <si>
    <t>STT</t>
  </si>
  <si>
    <t>Nội dung</t>
  </si>
  <si>
    <t>Dự toán năm 2024</t>
  </si>
  <si>
    <t>Ước thực hiện năm 2024</t>
  </si>
  <si>
    <t>So sánh</t>
  </si>
  <si>
    <t>Tuyệt đối</t>
  </si>
  <si>
    <t>Tương đối (%)</t>
  </si>
  <si>
    <t>A</t>
  </si>
  <si>
    <t>B</t>
  </si>
  <si>
    <t>3=2-1</t>
  </si>
  <si>
    <t>4=2/1</t>
  </si>
  <si>
    <t>NGÂN SÁCH CẤP TỈNH</t>
  </si>
  <si>
    <t>I</t>
  </si>
  <si>
    <t>Nguồn thu ngân sách</t>
  </si>
  <si>
    <t>Thu ngân sách được hưởng theo phân cấp</t>
  </si>
  <si>
    <t>Thu bổ sung từ ngân sách cấp trên</t>
  </si>
  <si>
    <t>-</t>
  </si>
  <si>
    <t>Thu bổ sung cân đối ngân sách</t>
  </si>
  <si>
    <t>Thu bổ sung có mục tiêu</t>
  </si>
  <si>
    <t>Thu từ quỹ dự trữ tài chính (1)</t>
  </si>
  <si>
    <t>Thu kết dư</t>
  </si>
  <si>
    <t>Thu chuyển nguồn từ năm trước chuyển sang</t>
  </si>
  <si>
    <t>II</t>
  </si>
  <si>
    <t>Chi ngân sách</t>
  </si>
  <si>
    <t>Chi thuộc nhiệm vụ của ngân sách cấp tỉnh</t>
  </si>
  <si>
    <t>Chi bổ sung cho ngân sách cấp dưới</t>
  </si>
  <si>
    <t>Chi bổ sung cân đối ngân sách</t>
  </si>
  <si>
    <t>Chi bổ sung có mục tiêu</t>
  </si>
  <si>
    <t>Chi chuyển nguồn sang năm sau</t>
  </si>
  <si>
    <t>III</t>
  </si>
  <si>
    <t>NGÂN SÁCH HUYỆN</t>
  </si>
  <si>
    <t>Chi bổ sung cho ngân sách cấp dưới (2)</t>
  </si>
  <si>
    <r>
      <rPr>
        <b/>
        <i/>
        <sz val="14"/>
        <rFont val="Times New Roman"/>
        <family val="1"/>
      </rPr>
      <t>Ghi chú</t>
    </r>
    <r>
      <rPr>
        <i/>
        <sz val="14"/>
        <rFont val="Times New Roman"/>
        <family val="1"/>
      </rPr>
      <t>:</t>
    </r>
    <r>
      <rPr>
        <i/>
        <sz val="12"/>
        <rFont val="Times New Roman"/>
        <family val="1"/>
      </rPr>
      <t xml:space="preserve">(1) Theo quy định tại Điều 7, Điều 11 Luật NSNN, ngân sách huyện không có thu từ quỹ dự trữ tài chính, bội chi NSĐP. </t>
    </r>
  </si>
  <si>
    <t xml:space="preserve">        (2) Ngân sách xã không có nhiệm vụ chi bổ sung cho ngân sách cấp dưới.</t>
  </si>
  <si>
    <t>Biểu mẫu số 23</t>
  </si>
  <si>
    <t>ĐÁNH GIÁ THỰC HIỆN CHI NGÂN SÁCH CẤP TỈNH THEO LĨNH VỰC NĂM 2024</t>
  </si>
  <si>
    <t>Dự toán</t>
  </si>
  <si>
    <t>Trong đó</t>
  </si>
  <si>
    <t>TỔNG CHI NSĐP</t>
  </si>
  <si>
    <t>CHI BỔ SUNG CÂN ĐỐI CHO NGÂN SÁCH CẤP DƯỚI (1)</t>
  </si>
  <si>
    <t>CHI NGÂN SÁCH CẤP TỈNH THEO LĨNH VỰC (BAO GỒM BỘI CHI NSĐP)</t>
  </si>
  <si>
    <t>B.1</t>
  </si>
  <si>
    <t>CHI CÂN ĐỐI NGÂN SÁCH TỈNH</t>
  </si>
  <si>
    <t>Chi đầu tư phát triển (2)</t>
  </si>
  <si>
    <t>Chi đầu tư cho các dự án</t>
  </si>
  <si>
    <t>Chi giáo dục - đào tạo và dạy nghề</t>
  </si>
  <si>
    <t>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</si>
  <si>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</si>
  <si>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</si>
  <si>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</si>
  <si>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</si>
  <si>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</si>
  <si>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</si>
  <si>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</si>
  <si>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</si>
  <si>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</si>
  <si>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</si>
  <si>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khác</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</si>
  <si>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</si>
  <si>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</si>
  <si>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Chi thường xuyên</t>
  </si>
  <si>
    <t>Chi khoa học và công nghệ (3)</t>
  </si>
  <si>
    <t>Chi thường xuyên khác</t>
  </si>
  <si>
    <t>Chi trả nợ lãi vay</t>
  </si>
  <si>
    <t>IV</t>
  </si>
  <si>
    <t xml:space="preserve">Chi bổ sung Quỹ dự trữ tài chính </t>
  </si>
  <si>
    <t>V</t>
  </si>
  <si>
    <t xml:space="preserve">Dự phòng ngân sách                                                         </t>
  </si>
  <si>
    <t>VI</t>
  </si>
  <si>
    <t>Chi nguồn giao tăng thu so dự toán Trung ương giao</t>
  </si>
  <si>
    <t>B.2</t>
  </si>
  <si>
    <t>Chi đầu tư từ nguồn bội chi ngân sách địa phương</t>
  </si>
  <si>
    <t>C</t>
  </si>
  <si>
    <t xml:space="preserve">CHI TỪ NGUỒN BỔ SUNG CÓ MỤC TIÊU TỪ NGÂN SÁCH TRUNG ƯƠNG </t>
  </si>
  <si>
    <t>Chi các chương trình mục tiêu quốc gia</t>
  </si>
  <si>
    <t>Chi đầu tư thực hiện các mục tiêu, nhiệm vụ</t>
  </si>
  <si>
    <t xml:space="preserve">Chi từ nguồn vốn sự nghiệp thực hiện các chế độ, nhiệm vụ và chính sách theo quy định </t>
  </si>
  <si>
    <r>
      <rPr>
        <b/>
        <i/>
        <sz val="14"/>
        <rFont val="Times New Roman"/>
        <family val="1"/>
      </rPr>
      <t>Ghi chú</t>
    </r>
    <r>
      <rPr>
        <i/>
        <sz val="14"/>
        <rFont val="Times New Roman"/>
        <family val="1"/>
      </rPr>
      <t>:</t>
    </r>
    <r>
      <rPr>
        <i/>
        <sz val="12"/>
        <rFont val="Times New Roman"/>
        <family val="1"/>
      </rPr>
      <t xml:space="preserve"> (1) Ngân sách xã không có nhiệm vụ chi bổ sung cân đối cho ngân sách cấp dưới.</t>
    </r>
  </si>
  <si>
    <t xml:space="preserve">         (2) Theo quy định tại Điều 7, Điều 11 và Điều 39 Luật NSNN, ngân sách huyện, xã không có nhiệm vụ chi </t>
  </si>
  <si>
    <t xml:space="preserve">         nghiên cứu khoa học và công nghệ, chi trả lãi vay, chi bổ sung quỹ dự trữ tài chính.</t>
  </si>
  <si>
    <r>
      <rPr>
        <i/>
        <sz val="14"/>
        <rFont val="Times New Roman"/>
        <family val="1"/>
      </rPr>
      <t>Ghi chú:</t>
    </r>
    <r>
      <rPr>
        <i/>
        <sz val="12"/>
        <rFont val="Times New Roman"/>
        <family val="1"/>
      </rPr>
      <t xml:space="preserve"> (1) Chi đầu tư phát triển ngân sách cấp tỉnh tăng tương ứng với số bội chi (nếu có); giảm tương ứng với số bội thu và chi trả nợ lãi (nếu có).</t>
    </r>
  </si>
  <si>
    <t xml:space="preserve">        (2) Theo quy định tại Điều 7, Điều 11 và Điều 39 Luật NSNN, Ngân sách huyện, xã không có nhiệm vụ chi </t>
  </si>
  <si>
    <t xml:space="preserve">        (3) Ngân sách xã không có nhiệm vụ chi bổ sung cân đối cho ngân sách cấp dưới.</t>
  </si>
  <si>
    <t>Biểu mẫu số 24</t>
  </si>
  <si>
    <t>ĐÁNH GIÁ THỰC HIỆN CHI NGÂN SÁCH CẤP TỈNH TỪNG CƠ QUAN, TỔ CHỨC THEO LĨNH VỰC NĂM 2024</t>
  </si>
  <si>
    <t>Tên đơn vị</t>
  </si>
  <si>
    <t>Tổng số</t>
  </si>
  <si>
    <r>
      <t>Chi đầu tư phát triển</t>
    </r>
    <r>
      <rPr>
        <sz val="14"/>
        <rFont val="Times New Roman"/>
        <family val="1"/>
      </rPr>
      <t xml:space="preserve"> (Không kể chương trình MTQG)</t>
    </r>
  </si>
  <si>
    <r>
      <t>Chi thường xuyên</t>
    </r>
    <r>
      <rPr>
        <sz val="14"/>
        <rFont val="Times New Roman"/>
        <family val="1"/>
      </rPr>
      <t xml:space="preserve"> (Không kể chương trình MTQG)</t>
    </r>
  </si>
  <si>
    <t>Chi trả nợ lãi do chính quyền địa phương vay (1)</t>
  </si>
  <si>
    <t>Chi bổ sung quỹ dự trữ tài chính (1)</t>
  </si>
  <si>
    <t xml:space="preserve">Chi dự phòng ngân sách </t>
  </si>
  <si>
    <t>Chi nguồn giao tăng thu so dự toán TƯ giao</t>
  </si>
  <si>
    <t>Chi chương trình MTQG</t>
  </si>
  <si>
    <t>Trung ương BSMT</t>
  </si>
  <si>
    <t>Bổ sung có mục tiêu cho ngân sách cấp dưới (NSĐP)</t>
  </si>
  <si>
    <t>Chi đầu tư phát triển</t>
  </si>
  <si>
    <t>Vốn đầu tư</t>
  </si>
  <si>
    <t>Vốn sự nghiệp</t>
  </si>
  <si>
    <t>TỔNG SỐ</t>
  </si>
  <si>
    <t>TỔNG CHI CÂN ĐỐI NGÂN SÁCH TỈNH (BAO GỒM CẢ BỘI CHI) (A1+A2)</t>
  </si>
  <si>
    <t>A1</t>
  </si>
  <si>
    <t>Chi cân đối ngân sách tỉnh</t>
  </si>
  <si>
    <t>Các cơ quan tổ chức</t>
  </si>
  <si>
    <t>Đơn vị dự toán toàn ngành</t>
  </si>
  <si>
    <t>1.1</t>
  </si>
  <si>
    <t>Sở NN và PT nông thôn</t>
  </si>
  <si>
    <t>1.2</t>
  </si>
  <si>
    <t>1.3</t>
  </si>
  <si>
    <t>Sở Giao thông vận tải</t>
  </si>
  <si>
    <t>1.4</t>
  </si>
  <si>
    <t>Ban An toàn giao thông</t>
  </si>
  <si>
    <t>1.5</t>
  </si>
  <si>
    <t>Sở Xây dựng</t>
  </si>
  <si>
    <t>1.6</t>
  </si>
  <si>
    <t>Sở Tài  nguyên Môi trường</t>
  </si>
  <si>
    <t>1.7</t>
  </si>
  <si>
    <t xml:space="preserve">Sở Công Thương </t>
  </si>
  <si>
    <t>1.8</t>
  </si>
  <si>
    <t>Sở Giáo dục Đào tạo</t>
  </si>
  <si>
    <t>1.9</t>
  </si>
  <si>
    <t>Sở Y tế</t>
  </si>
  <si>
    <t>1.10</t>
  </si>
  <si>
    <t xml:space="preserve">Sở  Văn hoá - Thể thao và  Du lịch </t>
  </si>
  <si>
    <t>1.11</t>
  </si>
  <si>
    <t>Sở Lao động Thương binh Xã hội</t>
  </si>
  <si>
    <t>1.12</t>
  </si>
  <si>
    <t xml:space="preserve">Sở Tư pháp </t>
  </si>
  <si>
    <t>1.13</t>
  </si>
  <si>
    <t>Văn phòng Tỉnh Uỷ</t>
  </si>
  <si>
    <t>1.14</t>
  </si>
  <si>
    <t>Sở Khoa học công nghệ</t>
  </si>
  <si>
    <t>1.15</t>
  </si>
  <si>
    <t xml:space="preserve">Tỉnh đoàn </t>
  </si>
  <si>
    <t>1.16</t>
  </si>
  <si>
    <t>Sở Thông tin truyền thông</t>
  </si>
  <si>
    <t>1.17</t>
  </si>
  <si>
    <t xml:space="preserve">Ban Quản lý Khu Kinh tế  </t>
  </si>
  <si>
    <t>Sở Nội vụ</t>
  </si>
  <si>
    <t>Các đơn vị dự toán độc lập</t>
  </si>
  <si>
    <t>2.1</t>
  </si>
  <si>
    <t>BQL Vườn quốc gia Chư Mom Ray</t>
  </si>
  <si>
    <t>2.2</t>
  </si>
  <si>
    <t>Trường Cao đẳng Kon Tum</t>
  </si>
  <si>
    <t>2.3</t>
  </si>
  <si>
    <t xml:space="preserve">Trường Chính trị </t>
  </si>
  <si>
    <t>2.4</t>
  </si>
  <si>
    <t xml:space="preserve"> Đài phát thanh - Truyền hình</t>
  </si>
  <si>
    <t>2.5</t>
  </si>
  <si>
    <t>Ban Dân tộc</t>
  </si>
  <si>
    <t>2.6</t>
  </si>
  <si>
    <t>Sở Ngọai vụ</t>
  </si>
  <si>
    <t>2.7</t>
  </si>
  <si>
    <t>Thanh tra nhà nước</t>
  </si>
  <si>
    <t>2.8</t>
  </si>
  <si>
    <t>Văn phòng Đoàn ĐBQH và HĐND tỉnh</t>
  </si>
  <si>
    <t>2.9</t>
  </si>
  <si>
    <t xml:space="preserve">Sở Kế hoạch Đầu tư </t>
  </si>
  <si>
    <t>2.10</t>
  </si>
  <si>
    <t xml:space="preserve">Sở Tài chính </t>
  </si>
  <si>
    <t>2.11</t>
  </si>
  <si>
    <t>VP Uỷ ban nhân dân tỉnh</t>
  </si>
  <si>
    <t>2.12</t>
  </si>
  <si>
    <t xml:space="preserve">Hội Cựu chiến binh </t>
  </si>
  <si>
    <t>2.13</t>
  </si>
  <si>
    <t xml:space="preserve">Hội Nông dân </t>
  </si>
  <si>
    <t>2.14</t>
  </si>
  <si>
    <t>Uỷ ban mặt trận tổ quốc</t>
  </si>
  <si>
    <t>2.15</t>
  </si>
  <si>
    <t xml:space="preserve">Hội liên hiệp phụ nữ tỉnh </t>
  </si>
  <si>
    <t>2.16</t>
  </si>
  <si>
    <t>Công an tỉnh</t>
  </si>
  <si>
    <t>2.17</t>
  </si>
  <si>
    <t xml:space="preserve">Bộ chỉ huy quân sự tỉnh </t>
  </si>
  <si>
    <t>2.18</t>
  </si>
  <si>
    <t>Bộ chỉ huy biên phòng</t>
  </si>
  <si>
    <t>2.19</t>
  </si>
  <si>
    <t>Ban Quản lý dự án đầu tư xây dựng các công trình giao thông, dân dụng và công nghiệp tỉnh Kon Tum</t>
  </si>
  <si>
    <t>2.20</t>
  </si>
  <si>
    <t>Ban quản lý dự án đầu tư xây dựng các công trình Nông nghiệp và PTNT</t>
  </si>
  <si>
    <t>2.21</t>
  </si>
  <si>
    <t>Bệnh viện Y dược Cổ truyền - Phục hồi chức năng tỉnh Kon Tum</t>
  </si>
  <si>
    <t>2.22</t>
  </si>
  <si>
    <t>BQL Khu BTTN Ngọc Linh</t>
  </si>
  <si>
    <t>2.23</t>
  </si>
  <si>
    <t>UBND thành phố Kon Tum</t>
  </si>
  <si>
    <t>2.24</t>
  </si>
  <si>
    <t>UBND huyện Kon Rẫy</t>
  </si>
  <si>
    <t>2.25</t>
  </si>
  <si>
    <t>UBND huyện Tu Mơ Rông</t>
  </si>
  <si>
    <t>2.26</t>
  </si>
  <si>
    <t>Các Chủ đầu tư khác, đối ứng các chương trình mục tiêu, trả nợ quyết toán dự án hoàn thành, Chưa phân bổ chi tiết</t>
  </si>
  <si>
    <t>Hỗ trợ các tổ chức xã hội - XHNN, tổ chức khác…</t>
  </si>
  <si>
    <t>3.1</t>
  </si>
  <si>
    <t>Hội người cao tuổi</t>
  </si>
  <si>
    <t>3.2</t>
  </si>
  <si>
    <t>Hội nạn nhân chất độc da cam/dioxin</t>
  </si>
  <si>
    <t>3.3</t>
  </si>
  <si>
    <t>Hội Bảo vệ quyền trẻ em và bảo trợ người khuyết tật</t>
  </si>
  <si>
    <t>3.4</t>
  </si>
  <si>
    <t>Hội khuyến học</t>
  </si>
  <si>
    <t>3.5</t>
  </si>
  <si>
    <t>Ban liên lạc tù chính trị</t>
  </si>
  <si>
    <t>3.6</t>
  </si>
  <si>
    <t>Hội nhà báo</t>
  </si>
  <si>
    <t>3.7</t>
  </si>
  <si>
    <t xml:space="preserve">Liên hiệp các hội KH và kỹ thuật </t>
  </si>
  <si>
    <t>3.8</t>
  </si>
  <si>
    <t>Hội Cựu Thanh niên xung phong</t>
  </si>
  <si>
    <t>3.9</t>
  </si>
  <si>
    <t>Hội Văn học Nghệ thuật</t>
  </si>
  <si>
    <t>3.10</t>
  </si>
  <si>
    <t>Hội hữu nghị Việt - Lào</t>
  </si>
  <si>
    <t>3.11</t>
  </si>
  <si>
    <t>Hội Hữu nghị Việt Nam - Campuchia</t>
  </si>
  <si>
    <t>3.12</t>
  </si>
  <si>
    <t>Hội liên lạc người Việt Nam ở nước ngoài</t>
  </si>
  <si>
    <t>3.13</t>
  </si>
  <si>
    <t>Hội Luật gia</t>
  </si>
  <si>
    <t>3.14</t>
  </si>
  <si>
    <t xml:space="preserve">Hội chữ thập đỏ </t>
  </si>
  <si>
    <t>3.15</t>
  </si>
  <si>
    <t>Liên minh Hợp tác xã</t>
  </si>
  <si>
    <t>3.16</t>
  </si>
  <si>
    <t>Đoàn Luật sư</t>
  </si>
  <si>
    <t>3.17</t>
  </si>
  <si>
    <t>Hội Bảo vệ người tiêu dùng</t>
  </si>
  <si>
    <t>3.18</t>
  </si>
  <si>
    <t>Công đoàn viên chức tỉnh</t>
  </si>
  <si>
    <t>3.19</t>
  </si>
  <si>
    <t xml:space="preserve">Liên đoàn Lao động tỉnh </t>
  </si>
  <si>
    <t>3.20</t>
  </si>
  <si>
    <t xml:space="preserve"> Hỗ trợ tổ chức, đơn vị sử dụng lao động là người dân tộc thiểu số theo QĐ42</t>
  </si>
  <si>
    <t>Công ty TNHH MTV Lâm nghiệp Đăk Glei</t>
  </si>
  <si>
    <t>Công ty TNHH MTV Lâm nghiệp Kon Rẫy</t>
  </si>
  <si>
    <t>Công ty TNHH MTV Lâm nghiệp Sa Thầy</t>
  </si>
  <si>
    <t>Công ty TNHH MTV Lâm nghiệp Ngọc Hồi</t>
  </si>
  <si>
    <t>Công ty TNHH MTV Lâm nghiệp Đăk Tô</t>
  </si>
  <si>
    <t>Công ty TNHH MTV Lâm nghiệp Kon Plong</t>
  </si>
  <si>
    <t>Công ty TNHH MTV Lâm nghiệp Ia H'Drai</t>
  </si>
  <si>
    <t>Công ty cổ phần Sâm Ngọc Linh Kon Tum</t>
  </si>
  <si>
    <t>Công ty cổ phần đầu tư phát triển Duy Tân</t>
  </si>
  <si>
    <t>Công ty TNHH MTV Cao su Kon Tum</t>
  </si>
  <si>
    <t>Công ty TNHH MTV Cao su Chư Momray</t>
  </si>
  <si>
    <t>Công ty cổ phần Cao su Sa Thầy</t>
  </si>
  <si>
    <t>Công ty Nông nghiệp sạch Tây Nguyên</t>
  </si>
  <si>
    <t>3.21</t>
  </si>
  <si>
    <t>Chi nhánh NHCSXH tỉnh</t>
  </si>
  <si>
    <t>3.22</t>
  </si>
  <si>
    <t>Cục Thi hành án dân sự tỉnh</t>
  </si>
  <si>
    <t>3.23</t>
  </si>
  <si>
    <t>Bảo hiểm xã hội tỉnh</t>
  </si>
  <si>
    <t xml:space="preserve">Chi mua sắm, sửa chữa lớn xe ô tô, nhà làm việc </t>
  </si>
  <si>
    <t>Chi khác ngân sách</t>
  </si>
  <si>
    <t>Nguồn thực hiện CCTL</t>
  </si>
  <si>
    <t>A2</t>
  </si>
  <si>
    <t>TRUNG ƯƠNG BỔ SUNG MỤC TIÊU</t>
  </si>
  <si>
    <t>BỔ SUNG CÓ MỤC TIÊU CHO NGÂN SÁCH CẤP DƯỚI</t>
  </si>
  <si>
    <t>Biểu mẫu số 25</t>
  </si>
  <si>
    <t>ĐÁNH GIÁ THỰC HIỆN CHI ĐẦU TƯ PHÁT TRIỂN CỦA NGÂN SÁCH CẤP TỈNH CHO TỪNG CƠ QUAN, TỔ CHỨC THEO LĨNH VỰC NĂM 2024</t>
  </si>
  <si>
    <t xml:space="preserve"> Chi giáo dục - đào tạo và dạy nghề</t>
  </si>
  <si>
    <t xml:space="preserve"> Chi khoa học và công nghệ</t>
  </si>
  <si>
    <t>Chi từ nguồn Trung ương bổ sung mục tiêu, chi từ nguồn bội chi</t>
  </si>
  <si>
    <t>Chi giao thông</t>
  </si>
  <si>
    <t>Chi nông nghiệp, lâm nghiệp, thủy lợi, thủy sản</t>
  </si>
  <si>
    <t>Sở Giáo dục và Đào tạo</t>
  </si>
  <si>
    <t>Sở Kế hoạch và Đầu tư</t>
  </si>
  <si>
    <t>Sở Tài nguyên và Môi trường</t>
  </si>
  <si>
    <t>Sở Khoa học và Công nghệ</t>
  </si>
  <si>
    <t>Sở Văn hoá Thể thao và Du lịch</t>
  </si>
  <si>
    <t>Văn phòng Tỉnh uỷ</t>
  </si>
  <si>
    <t xml:space="preserve">Ban quản lý Khai thác các công trình thủy lợi tỉnh </t>
  </si>
  <si>
    <t xml:space="preserve">Ban Quản lý Khu Kinh tế - tỉnh </t>
  </si>
  <si>
    <t xml:space="preserve">Chi cục Kiểm lâm tỉnh </t>
  </si>
  <si>
    <t>Sở Ngoại vụ Cơ quan thường trực BCĐ công tác biên giới</t>
  </si>
  <si>
    <t>Bộ chỉ huy quân sự tỉnh</t>
  </si>
  <si>
    <t>UBND huyện Ia H'Drai</t>
  </si>
  <si>
    <t>Chi từ nguồn bội chi</t>
  </si>
  <si>
    <t xml:space="preserve">Chi từ nguồn bổ sung có mục tiêu từ ngân sách trung ương </t>
  </si>
  <si>
    <t>Biểu mẫu số 26</t>
  </si>
  <si>
    <t>ĐÁNH GIÁ THỰC HIỆN CHI THƯỜNG XUYÊN CỦA NGÂN SÁCH CẤP TỈNH CHO TỪNG CƠ QUAN, TỔ CHỨC THEO LĨNH VỰC NĂM 2024</t>
  </si>
  <si>
    <t>Trung ương bổ sung mục tiêu (nguồn chi TX)</t>
  </si>
  <si>
    <t>Chi CTMTQG (nguồn chi TX)</t>
  </si>
  <si>
    <t>1=2+18</t>
  </si>
  <si>
    <t>CHI THƯỜNG XUYÊN</t>
  </si>
  <si>
    <t>1</t>
  </si>
  <si>
    <t>2</t>
  </si>
  <si>
    <t>3</t>
  </si>
  <si>
    <t>4</t>
  </si>
  <si>
    <t>5</t>
  </si>
  <si>
    <t>6</t>
  </si>
  <si>
    <t>7</t>
  </si>
  <si>
    <t>8</t>
  </si>
  <si>
    <t>9</t>
  </si>
  <si>
    <t>10</t>
  </si>
  <si>
    <t>11</t>
  </si>
  <si>
    <t>12</t>
  </si>
  <si>
    <t>13</t>
  </si>
  <si>
    <t>14</t>
  </si>
  <si>
    <t>15</t>
  </si>
  <si>
    <t>16</t>
  </si>
  <si>
    <t>17</t>
  </si>
  <si>
    <t>18</t>
  </si>
  <si>
    <t>VII</t>
  </si>
  <si>
    <t>Biểu mẫu số 34</t>
  </si>
  <si>
    <t>DỰ TOÁN CHI NGÂN SÁCH CẤP TỈNH THEO LĨNH VỰC NĂM 2025</t>
  </si>
  <si>
    <t>CHI NGÂN SÁCH CẤP TỈNH THEO LĨNH VỰC</t>
  </si>
  <si>
    <t xml:space="preserve">CHI CHUYỂN NGUỒN SANG NĂM SAU </t>
  </si>
  <si>
    <t xml:space="preserve">                    (2) Năm đầu thời kỳ ổn định ngân sách, dự toán chi đầu tư phát triển ngân sách địa phương được xác định bằng </t>
  </si>
  <si>
    <t xml:space="preserve">                         định mức phân bổ chi đầu tư phát triển do Ủy ban thường vụ Quốc hội quyết định cộng với (+) số bội chi ngân sách </t>
  </si>
  <si>
    <t xml:space="preserve">                         địa phương (nếu có) hoặc trừ đi (-) số bội thu ngân sách địa phương và chi trả nợ lãi (nếu có).</t>
  </si>
  <si>
    <t xml:space="preserve">         (3) Theo quy định tại Điều 7, Điều 11 và Điều 39 Luật NSNN, ngân sách huyện, xã không có nhiệm vụ chi nghiên cứu khoa học</t>
  </si>
  <si>
    <t xml:space="preserve">               và công nghệ, chi trả lãi vay, chi bổ sung quỹ dự trữ tài chính.</t>
  </si>
  <si>
    <t>Biểu mẫu số 35</t>
  </si>
  <si>
    <t>Bổ sung có mục tiêu cho ngân sách cấp dưới</t>
  </si>
  <si>
    <t>KP hoạt động Ban chỉ đạo thi hành án dân sự tỉnh</t>
  </si>
  <si>
    <t>Hỗ trợ đơn vị Trung Ương xây dựng mô hình "Dân vận khéo"</t>
  </si>
  <si>
    <t>Liên Đoàn Lao động tỉnh</t>
  </si>
  <si>
    <t>Viện Kiểm sát nhân dân tỉnh</t>
  </si>
  <si>
    <t>Cục Thống kê</t>
  </si>
  <si>
    <t>Tòa án nhân dân tỉnh</t>
  </si>
  <si>
    <t>Bảo hiểm xã hội</t>
  </si>
  <si>
    <t>Cục Thuế tỉnh</t>
  </si>
  <si>
    <t>Chi nhánh Ngân hàng Nhà nước tỉnh</t>
  </si>
  <si>
    <t>Sư đoàn 10</t>
  </si>
  <si>
    <t>Chi nhánh Ngân hàng Chính sách xã hội</t>
  </si>
  <si>
    <t xml:space="preserve">Cấp vốn ủy thác, bù lãi suất theo NQ  HĐND </t>
  </si>
  <si>
    <t>Biểu mẫu số 37</t>
  </si>
  <si>
    <t>DỰ TOÁN CHI THƯỜNG XUYÊN CỦA NGÂN SÁCH CẤP TỈNH CHO  TỪNG CƠ QUAN, TỔ CHỨC THEO LĨNH VỰC NĂM 2025</t>
  </si>
  <si>
    <t>Ban chỉ đạo thi hành án dân sự tỉnh</t>
  </si>
  <si>
    <t>Hoạt động đối ngoại</t>
  </si>
  <si>
    <t>Chi hoạt động phạt vi phạm hành chính, thanh tra</t>
  </si>
  <si>
    <t>Chi hỗ trợ đảm bảo hoạt động thu lệ phí</t>
  </si>
  <si>
    <t>KP thực hiện chính sách ASXH của địa phương, KP ASXH khác do Trung ương đảm bảo nhưng chưa bố trí đủ nguồn</t>
  </si>
  <si>
    <t>KP chuyển đổi số, quy hoạch (Triển khai sau khi có chủ trương phê duyệt của cấp có thẩm quyền)</t>
  </si>
  <si>
    <t>KP ĐH Đảng bộ các cấp (NS tỉnh hỗ trợ thêm ngoài KP TƯBSMT)</t>
  </si>
  <si>
    <t>Kinh phí mua xe ô tô</t>
  </si>
  <si>
    <t>Kinh phí tổ chức Lễ kỷ niệm 80 năm ngày thành lập ngành, các hoạt động mừng kỷ niệm ngành, hội thao ngành…</t>
  </si>
  <si>
    <t>KP tham gia các sự kiện thu hút đầu tư, tổ chức các ngày lễ lớn trong năm; đối ứng các Chương trình, DA, ĐA; Quy hoạch; KP đoàn ra, đoàn của các Sở, ngành và nhiệm vụ theo chủ trương cấp thẩm quyền và các nhiệm vụ cần thiết khác…</t>
  </si>
  <si>
    <t>Biểu mẫu số 33</t>
  </si>
  <si>
    <t>DỰ TOÁN CHI NGÂN SÁCH ĐỊA PHƯƠNG, CHI NGÂN SÁCH CẤP TỈNH 
VÀ CHI NGÂN SÁCH HUYỆN THEO CƠ CẤU CHI NĂM 2025</t>
  </si>
  <si>
    <t>Ngân sách địa phương</t>
  </si>
  <si>
    <t>Bao gồm</t>
  </si>
  <si>
    <t>Ngân sách tỉnh</t>
  </si>
  <si>
    <t>Ngân sách huyện</t>
  </si>
  <si>
    <t>Ngân sách cấp tỉnh</t>
  </si>
  <si>
    <t>Bổ sung mục tiêu ngân sách huyện</t>
  </si>
  <si>
    <t>1=2+3</t>
  </si>
  <si>
    <t>2a</t>
  </si>
  <si>
    <t>2b</t>
  </si>
  <si>
    <t xml:space="preserve">TỔNG CHI NSĐP </t>
  </si>
  <si>
    <t>CHI CÂN ĐỐI NSĐP (Bao gồm bội chi ngân sách địa phương)</t>
  </si>
  <si>
    <t>A.1</t>
  </si>
  <si>
    <t>CHI CÂN ĐỐI NSĐP</t>
  </si>
  <si>
    <t>Chi đầu tư phát triển (1)</t>
  </si>
  <si>
    <t>Trong đó: Chia theo lĩnh vực</t>
  </si>
  <si>
    <t>Trong đó: Chia theo nguồn vốn</t>
  </si>
  <si>
    <t>Chi đầu tư từ nguồn thu tiền sử dụng đất</t>
  </si>
  <si>
    <t>Trong đó:  - Bổ sung Quỹ phát triển đất (2%)</t>
  </si>
  <si>
    <t xml:space="preserve">                   - Chi sự nghiệp quản lý đất đai từ nguồn 10% tiền sử dụng đất</t>
  </si>
  <si>
    <t>Chi đầu tư từ nguồn thu xổ số kiến thiết</t>
  </si>
  <si>
    <t>Chi tăng cường hạ tầng khu KT cửa khẩu Bờ Y (từ nguồn thu phí sử dụng hạ tầng Khu)</t>
  </si>
  <si>
    <t>Trong đó:</t>
  </si>
  <si>
    <t xml:space="preserve">  Chi giáo dục - đào tạo và dạy nghề</t>
  </si>
  <si>
    <t xml:space="preserve">  Chi khoa học và công nghệ (2)</t>
  </si>
  <si>
    <t>Chi trả nợ lãi các khoản do chính quyền địa phương vay (2)</t>
  </si>
  <si>
    <t>Chi bổ sung quỹ dự trữ tài chính (2)</t>
  </si>
  <si>
    <t>Dự phòng ngân sách</t>
  </si>
  <si>
    <t>Trong đó: - Đã bao gồm 70% tăng thu từ nguồn thu tiền thuê đất, bán tài sản trên đất tạo nguồn CCTL theo quy định</t>
  </si>
  <si>
    <t xml:space="preserve">                - Trích 10% thu tiền sử dụng đất, tiền thuê đất để đầu tư cho công tác đo đạc, đăng ký đất đai, cấp Giấy chứng nhận, xây dựng cơ sở dữ liệu đất đai và đăng ký biến động, chỉnh lý hồ sơ địa chính thường xuyên theo Chỉ thị số 1474/CT-TTg ngày 24/8/2011 của Thủ tướng Chính phủ</t>
  </si>
  <si>
    <t xml:space="preserve">              - Trích 2% Quỹ phát triển đất tỉnh từ nguồn thu tiền sử dụng đất giao tăng thu</t>
  </si>
  <si>
    <t xml:space="preserve">              - Phân bổ chi đầu tư cấp tỉnh quản lý</t>
  </si>
  <si>
    <t>A.2</t>
  </si>
  <si>
    <t>CHI TỪ NGUỒN BỘI CHI NGÂN SÁCH ĐỊA PHƯƠNG</t>
  </si>
  <si>
    <t>CHI CÁC CHƯƠNG TRÌNH MỤC TIÊU</t>
  </si>
  <si>
    <t>Chương trình MTQG NTM</t>
  </si>
  <si>
    <t>Chương trình MTQG Giảm nghèo bền vững</t>
  </si>
  <si>
    <t xml:space="preserve">Chương trình MTQG Phát triển KTXH vùng đồng bào DTTS&amp;MN </t>
  </si>
  <si>
    <t>Chi các chương trình mục tiêu, nhiệm vụ</t>
  </si>
  <si>
    <t>II.1</t>
  </si>
  <si>
    <t>Vốn nước ngoài</t>
  </si>
  <si>
    <t>Vốn trong nước</t>
  </si>
  <si>
    <t>II.2</t>
  </si>
  <si>
    <t>Vốn ngoài nước</t>
  </si>
  <si>
    <t>Hỗ trợ kinh phí thực hiện nhiệm vụ đảm bảo trật tự an toàn giao thông</t>
  </si>
  <si>
    <t>a</t>
  </si>
  <si>
    <t>Khối tỉnh</t>
  </si>
  <si>
    <t>Ban an toàn giao thông tỉnh</t>
  </si>
  <si>
    <t>Thanh tra giao thông</t>
  </si>
  <si>
    <t>Sở Văn hóa Thể thao và Du lịch</t>
  </si>
  <si>
    <t>UB mặt trận tổ chốc VN tỉnh</t>
  </si>
  <si>
    <t>Báo Kon Tum</t>
  </si>
  <si>
    <t>Tỉnh đoàn thanh niên</t>
  </si>
  <si>
    <t>Đài phát thanh Truyền hình</t>
  </si>
  <si>
    <t>Bộ Chỉ huy Quân sự tỉnh</t>
  </si>
  <si>
    <t>Sở Tư pháp</t>
  </si>
  <si>
    <t>Sở Thông tin Truyền thông</t>
  </si>
  <si>
    <t>Bộ đội biên phòng tỉnh Kon Tum</t>
  </si>
  <si>
    <t>Hội Cựu chiến binh tỉnh</t>
  </si>
  <si>
    <t>Sở Y Tế</t>
  </si>
  <si>
    <t>Hội Liên hiệp phụ nữ tỉnh</t>
  </si>
  <si>
    <t>Hội Nông dân tỉnh</t>
  </si>
  <si>
    <t>Liên đoàn lao động tỉnh</t>
  </si>
  <si>
    <t>b</t>
  </si>
  <si>
    <t>Khối huyện</t>
  </si>
  <si>
    <t>Kinh phí quản lý, bảo trì đường bộ (Sở Giao thông vận tải)</t>
  </si>
  <si>
    <t>Sửa chữa nền, mặt đường, công trình thoát nước, an toàn giao thông đoạn từ Km0 -Km39+500, Tỉnh lộ 673</t>
  </si>
  <si>
    <t>Kiểm định, sơn sửa cầu treo Kon Klor Tỉnh lộ 671, thành phố Kon Tum</t>
  </si>
  <si>
    <t>Sửa chữa nền, mặt đường, công trình thoát nước, ATGT các đoạn còn lại ĐH 53 (đường liên xã Kon Đào - Ngọc Tụ - Đăk Rơ Nga)</t>
  </si>
  <si>
    <t>Kinh phí thực hiện Đề án bồi dưỡng cán bộ, công chức Hội Liên hiệp Phụ nữ các cấp và Chi hội trưởng Phụ nữ giai đoạn 2019-2025 (Hội Liên hiệp phụ nữ tỉnh)</t>
  </si>
  <si>
    <t>Hỗ trợ doanh nghiệp vừa và nhỏ</t>
  </si>
  <si>
    <t xml:space="preserve">Sở Kế hoạch và Đầu tư </t>
  </si>
  <si>
    <t>Sở Công Thương</t>
  </si>
  <si>
    <t>Bổ sung thực hiện Chương trình phát triển lâm nghiệp bền vững</t>
  </si>
  <si>
    <t>BQL rừng đặc dụng Đăk Uy</t>
  </si>
  <si>
    <t>BQL khu bảo tồn thiên nhiên Ngọc Linh</t>
  </si>
  <si>
    <t>BQL rừng phòng hộ Thạch Nham</t>
  </si>
  <si>
    <t>Công ty TNHH MTV lâm nghiệp Đăk Tô</t>
  </si>
  <si>
    <t>Công ty TNHH MTV lâm nghiệp Ia H'Drai</t>
  </si>
  <si>
    <t>Công ty TNHH MTV lâm nghiệp Kon Plông</t>
  </si>
  <si>
    <t>Công ty TNHH MTV lâm nghiệp Sa Thầy</t>
  </si>
  <si>
    <t>Công ty TNHH MTV lâm nghiệp Ngọc Hồi</t>
  </si>
  <si>
    <t>Chi cục Kiểm lâm</t>
  </si>
  <si>
    <t>Hỗ trợ các Hội Văn học nghệ thuật địa phương (Hội Văn học nghệ thuật tỉnh)</t>
  </si>
  <si>
    <t>Hỗ trợ các Hội Nhà báo địa phương (Hội Nhà báo tỉnh)</t>
  </si>
  <si>
    <t>Kinh phí biên chế giáo viên tăng thêm</t>
  </si>
  <si>
    <t>Sở Giáo dục và Đào tạo tỉnh</t>
  </si>
  <si>
    <t>Tập trung ngân sách tỉnh</t>
  </si>
  <si>
    <t>Kinh phí thực hiện các chính sách an sinh xã hội</t>
  </si>
  <si>
    <t>+</t>
  </si>
  <si>
    <t>Kinh phí thực hiện chính sách phát triển giáo dục mầm non theo Nghị định số 105/2020/NĐ-CP ngày 08 tháng 9 năm 2020 của Chính phủ</t>
  </si>
  <si>
    <t>Kinh phí hỗ trợ học sinh và Trường phổ thông xã, thôn đặc biệt khó khăn theo Nghị định số 116/2016/NĐ-CP ngày 18 tháng 07 năm 2016 của Chính phủ</t>
  </si>
  <si>
    <t>Kinh phí hỗ trợ học bổng học sinh dân tộc nội trú theo Nghị định số 84/2020/NĐ-CP ngày 17 tháng 7 năm 2020 của Chính phủ</t>
  </si>
  <si>
    <t>Kinh phí hỗ trợ ưu tiên tuyển sinh và hỗ trợ học tập đối với trẻ mẫu giáo, học sinh, sinh viên dân tộc thiểu số rất ít người theo Nghị định số 57/2017/NĐ-CP ngày 05/5/2017</t>
  </si>
  <si>
    <t>Chính sách hỗ trợ chi phí học tập và miễn giảm học phí theo quy định tại Nghị định số 81/2022/NĐ-CP ngày 27/08/2021 của Chính phủ (Theo Quyết định phê duyệt của UBND tỉnh)</t>
  </si>
  <si>
    <t>Chính sách hỗ trợ học bổng đối với học sinh, sinh viên nội trú, có hộ khẩu vùng khó khăn theo Quyết định số 53/2015/QĐ-TTg ngày 20 tháng 10 năm 2015 của Thủ tướng Chính phủ</t>
  </si>
  <si>
    <t>Sở Lao động, Thương binh và Xã hội tỉnh</t>
  </si>
  <si>
    <t>BHYT đối tượng BTXH</t>
  </si>
  <si>
    <t>Kinh phí trợ giúp xã hội đối với đối tượng bảo trợ xã hội theo Nghị định số 20/2021/NĐ-CP ngày 15 tháng 3 năm 2021 của Chính phủ</t>
  </si>
  <si>
    <t>BHXH tỉnh</t>
  </si>
  <si>
    <t>BHYT cho trẻ em dưới 6 tuổi</t>
  </si>
  <si>
    <t>BHYT cho người nghèo, người DTTS vùng KTXH khó khăn và người đang sinh sống ở vùng KTXH đặc biệt KK</t>
  </si>
  <si>
    <t>BHYT người hiến tạng</t>
  </si>
  <si>
    <t>BHYT HSSV</t>
  </si>
  <si>
    <t>Hỗ trợ BHYT người thuộc gia đình hộ cận nghèo</t>
  </si>
  <si>
    <t>Hỗ trợ BHYT người thuộc gia đình làm nông nghiệp, LN có mức sống trung bình</t>
  </si>
  <si>
    <t>Người dân tộc thiểu số đang sinh sống tại địa bàn các xã khu vực II, khu vực III, thôn đặc biệt khó khăn thuộc vùng đồng bào dân tộc thiểu số và miền núi giai đoạn 2016-2020</t>
  </si>
  <si>
    <t>Hỗ trợ BHXH tự nguyện</t>
  </si>
  <si>
    <t>Chính sách đối với người có uy tín trong đồng bào dân tộc thiểu số theo quy định tại Quyết định số 12/2018/QĐ-TTg và Quyết định số 28/2023/QĐ-TTg của Thủ tướng Chính phủ</t>
  </si>
  <si>
    <t>Kinh phí hỗ trợ địa phương sản xuất lúa</t>
  </si>
  <si>
    <t>Kinh phí thực hiện Chương trình bảo tồn và phát huy bền vững giá trị di sản văn hóa Việt Nam, giai đoạn 2021-2025 (Sở Văn hóa, Thể thao và Du lịch)</t>
  </si>
  <si>
    <t>Dự án kho lưu giữ, bảo quản hiện vật</t>
  </si>
  <si>
    <r>
      <rPr>
        <b/>
        <i/>
        <sz val="14"/>
        <rFont val="Times New Roman"/>
        <family val="1"/>
      </rPr>
      <t>Ghi chú</t>
    </r>
    <r>
      <rPr>
        <i/>
        <sz val="10"/>
        <rFont val="Times New Roman"/>
        <family val="1"/>
      </rPr>
      <t>:</t>
    </r>
    <r>
      <rPr>
        <i/>
        <sz val="12"/>
        <rFont val="Times New Roman"/>
        <family val="1"/>
      </rPr>
      <t>(1) Năm đầu thời kỳ ổn định ngân sách, dự toán chi đầu tư phát triển ngân sách địa phương được xác định bằng định mức phân bổ chi đầu tư phát triển do Ủy ban</t>
    </r>
    <r>
      <rPr>
        <i/>
        <sz val="12"/>
        <rFont val="Times New Roman"/>
        <family val="1"/>
        <charset val="163"/>
      </rPr>
      <t xml:space="preserve"> thường vụ Quốc hội quyết định cộng với (+) số bội chi ngân sách địa phương (nếu có) hoặc trừ đi (-) số bội thu ngân sách địa phương và chi trả nợ lãi (nếu có).</t>
    </r>
  </si>
  <si>
    <t xml:space="preserve">              (2) Theo quy định tại Điều 7, Điều 11 và Điều 39 Luật NSNN, ngân sách huyện, xã không có nhiệm vụ chi nghiên cứu khoa học và công nghệ, chi trả lãi vay, chi bổ sung quỹ dự trữ tài chính.</t>
  </si>
  <si>
    <t xml:space="preserve">               (3) Sở Kế hoạch và đầu tư triển khai thực hiện các nhiệm vụ, nội dung hỗ trợ doanh nghiệp vừa và nhỏ theo hướng dẫn của Bộ Kế hoạch và Đầu tư.</t>
  </si>
  <si>
    <t>Biểu mẫu số 13</t>
  </si>
  <si>
    <t>ĐÁNH GIÁ THỰC HIỆN THU NGÂN SÁCH NHÀ NƯỚC THEO LĨNH VỰC NĂM 2024</t>
  </si>
  <si>
    <t>(Kèm theo Tờ trình số          /TTr-UBND ngày     tháng     năm 2024 của Ủy ban nhân dân tỉnh Kon Tum)</t>
  </si>
  <si>
    <t>So sánh (%)</t>
  </si>
  <si>
    <t>Tổng thu NSNN</t>
  </si>
  <si>
    <t>Thu NSĐP</t>
  </si>
  <si>
    <t>5=3/1</t>
  </si>
  <si>
    <t>6=4/2</t>
  </si>
  <si>
    <t>TỔNG THU NGÂN SÁCH NHÀ NƯỚC</t>
  </si>
  <si>
    <t>Thu nội địa</t>
  </si>
  <si>
    <t xml:space="preserve">Thu từ khu vực DNNN do Trung ương quản lý </t>
  </si>
  <si>
    <t>Thuế giá trị gia tăng</t>
  </si>
  <si>
    <t>Thuế thu nhập doanh nghiệp</t>
  </si>
  <si>
    <t>Thuế tài nguyên</t>
  </si>
  <si>
    <t>Thuế tài nguyên nước</t>
  </si>
  <si>
    <t>Thuế tài nguyên khác</t>
  </si>
  <si>
    <t xml:space="preserve">Thu từ khu vực DNNN do địa phương quản lý </t>
  </si>
  <si>
    <t>Thuế tài nguyên rừng</t>
  </si>
  <si>
    <t xml:space="preserve">Thu từ khu vực doanh nghiệp có vốn đầu tư nước ngoài </t>
  </si>
  <si>
    <t xml:space="preserve">Thu từ khu vực kinh tế ngoài quốc doanh </t>
  </si>
  <si>
    <t>4.1</t>
  </si>
  <si>
    <t>4.2</t>
  </si>
  <si>
    <t>4.3</t>
  </si>
  <si>
    <t>Thuế TTĐB hàng nội địa</t>
  </si>
  <si>
    <t>4.4</t>
  </si>
  <si>
    <t>Thuế thu nhập cá nhân</t>
  </si>
  <si>
    <t>Thuế bảo vệ môi trường</t>
  </si>
  <si>
    <t xml:space="preserve"> Thu từ hàng hóa nhập khẩu</t>
  </si>
  <si>
    <t xml:space="preserve"> Thu từ hàng hóa  sản xuất trong nước</t>
  </si>
  <si>
    <t>Lệ phí trước bạ</t>
  </si>
  <si>
    <t>Thu phí, lệ phí</t>
  </si>
  <si>
    <t>8.1</t>
  </si>
  <si>
    <t>Phí và lệ phí trung ương</t>
  </si>
  <si>
    <t>8.2</t>
  </si>
  <si>
    <t>Phí và lệ phí địa phương</t>
  </si>
  <si>
    <t>Phí bảo vệ môi trường khai thác khoáng sản</t>
  </si>
  <si>
    <t>Lệ phí môn bài</t>
  </si>
  <si>
    <t>Phí, lệ phí khác</t>
  </si>
  <si>
    <t xml:space="preserve">    Trong đó: + Phí sử dụng các công trình kết cấu hạ tầng (đối với phương tiện ra, vào cửa khẩu) trong Khu kinh tế Cửa khẩu quốc tế Bờ Y</t>
  </si>
  <si>
    <t xml:space="preserve">                    + Phí bảo vệ môi trường đối với nước thải</t>
  </si>
  <si>
    <t>Thuế sử dụng đất nông nghiệp</t>
  </si>
  <si>
    <t>Thuế sử dụng đất phi nông nghiệp</t>
  </si>
  <si>
    <t>Thu cho thuê mặt đất mặt nước</t>
  </si>
  <si>
    <t>Thu tiền sử dụng đất</t>
  </si>
  <si>
    <t>Thu tiền cho thuê và bán nhà ở thuộc sở hữu nhà nước</t>
  </si>
  <si>
    <t xml:space="preserve">Thu từ hoạt động xổ số kiến thiết </t>
  </si>
  <si>
    <t>Thu tiền cấp quyền khai thác khoáng sản, tài nguyên nước</t>
  </si>
  <si>
    <t>Thu khác ngân sách</t>
  </si>
  <si>
    <t>Thu từ quỹ đất công ích, thu hoa lợi, công sản tại xã</t>
  </si>
  <si>
    <t>Thu cổ tức, lợi nhuận sau thuế</t>
  </si>
  <si>
    <t>Tăng thu từ các dự án khai thác quỹ đất so với dự toán Trung ương giao (Bao gồm Ghi thu tiền thuê đất, tiền sử dụng đất tương ứng số tiền đền bù GPMB của các DA đầu tư mà nhà đầu tư đã tự nguyện ứng trước và phân bổ chi đầu tư các dự án, nhiệm vụ theo tiến độ nguồn thu thực tế)</t>
  </si>
  <si>
    <t>Thu viện trợ thuộc nguồn thu ngân sách địa phương</t>
  </si>
  <si>
    <t>Thu từ hoạt động xuất, nhập khẩu</t>
  </si>
  <si>
    <t>Thuế giá trị gia tăng thu từ hàng hóa nhập khẩu</t>
  </si>
  <si>
    <t>Thuế xuất khẩu</t>
  </si>
  <si>
    <t>Thuế nhập khẩu</t>
  </si>
  <si>
    <t>Thu khác</t>
  </si>
  <si>
    <t>Thu huy động đóng góp</t>
  </si>
  <si>
    <r>
      <rPr>
        <b/>
        <i/>
        <sz val="12"/>
        <rFont val="Times New Roman"/>
        <family val="1"/>
      </rPr>
      <t>Ghi chú</t>
    </r>
    <r>
      <rPr>
        <i/>
        <sz val="12"/>
        <rFont val="Times New Roman"/>
        <family val="1"/>
      </rPr>
      <t>:</t>
    </r>
  </si>
  <si>
    <t>(1) Doanh nghiệp nhà nước do trung ương quản lý là doanh nghiệp do bộ, cơ quan ngang bộ, cơ quan thuộc Chính phủ, cơ quan khác ở trung ương  đại diện Nhà nước chủ sở hữu 100% vốn điều lệ.</t>
  </si>
  <si>
    <t>(2) Doanh nghiệp nhà nước do địa phương quản lý là doanh nghiệp do Ủy ban nhân dân cấp tỉnh đại diện Nhà nước chủ sở hữu 100% vốn điều lệ.</t>
  </si>
  <si>
    <t>(3)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</si>
  <si>
    <t>(4) Doanh nghiệp khu vực kinh tế ngoài quốc doanh là các doanh nghiệp thành lập theo Luật doanh nghiệp, Luật các tổ chức tín dụng,trừ các doanh nghiệp nhà nước do trung ương, địa phương quản lý, doanh nghiệp có vốn đầu tư nước ngoài nêu trên.</t>
  </si>
  <si>
    <t xml:space="preserve">(5)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nước,chênh lệch thu, chi Ngân hàng Nhà nước, thu từ dầu thô, thu từ hoạt động xuất, nhập khẩu. Thu chênh lệch thu, chi Ngân hàng Nhà nước chỉ áp dụng đối với thành phố Hà Nội. </t>
  </si>
  <si>
    <t xml:space="preserve"> </t>
  </si>
  <si>
    <t>Biểu mẫu số 12</t>
  </si>
  <si>
    <t>ĐÁNH GIÁ CÂN ĐỐI NGÂN SÁCH ĐỊA PHƯƠNG NĂM 2024</t>
  </si>
  <si>
    <t>(Kèm theo Tờ trình số        /TTr-UBND ngày         tháng      năm 2024 của Ủy ban nhân dân tỉnh Kon Tum)</t>
  </si>
  <si>
    <t>Nội dung (1)</t>
  </si>
  <si>
    <t>TỔNG NGUỒN THU NSĐP</t>
  </si>
  <si>
    <t>Thu NSĐP được hưởng theo phân cấp</t>
  </si>
  <si>
    <t>Thu NSĐP hưởng 100%</t>
  </si>
  <si>
    <t>Thu NSĐP hưởng từ các khoản thu phân chia</t>
  </si>
  <si>
    <t xml:space="preserve">Thu từ quỹ dự trữ tài chính </t>
  </si>
  <si>
    <t>Tổng chi cân đối NSĐP</t>
  </si>
  <si>
    <t xml:space="preserve">Chi trả nợ lãi, gốc các khoản do chính quyền địa phương vay </t>
  </si>
  <si>
    <t xml:space="preserve">Chi bổ sung quỹ dự trữ tài chính </t>
  </si>
  <si>
    <t>Chi tạo nguồn, điều chỉnh tiền lương</t>
  </si>
  <si>
    <t>Chi từ nguồn tăng thu từ các dự án khai thác quỹ đất so với dự toán Trung ương giao (phân bổ chi đầu tư các dự án, nhiệm vụ theo tiến độ nguồn thu thực tế)</t>
  </si>
  <si>
    <t>Chi từ nguồn bội chi ngân sách địa phương</t>
  </si>
  <si>
    <t>Chi các chương trình mục tiêu</t>
  </si>
  <si>
    <t xml:space="preserve">BỘI CHI NSĐP/BỘI THU NSĐP </t>
  </si>
  <si>
    <t>D</t>
  </si>
  <si>
    <t xml:space="preserve">CHI TRẢ NỢ GỐC CỦA NSĐP </t>
  </si>
  <si>
    <t>Từ nguồn vay để trả nợ gốc</t>
  </si>
  <si>
    <t>Từ nguồn bội thu, tăng thu, tiết kiệm chi, kết dư ngân sách cấp tỉnh</t>
  </si>
  <si>
    <t>E</t>
  </si>
  <si>
    <t xml:space="preserve">TỔNG MỨC VAY CỦA NSĐP </t>
  </si>
  <si>
    <t>Vay để bù đắp bội chi</t>
  </si>
  <si>
    <t>Vay để trả nợ gốc</t>
  </si>
  <si>
    <r>
      <rPr>
        <b/>
        <i/>
        <sz val="13"/>
        <rFont val="Times New Roman"/>
        <family val="1"/>
      </rPr>
      <t>Ghi chú</t>
    </r>
    <r>
      <rPr>
        <i/>
        <sz val="13"/>
        <rFont val="Times New Roman"/>
        <family val="1"/>
      </rPr>
      <t>:(1)Theo quy định tại Điều 7, Điều 11 Luật NSNN, ngân sách huyện, xã không có nhiệm vụ chi trả nợ lãi vay, thu - chi quỹ dự trữ tài chính, bội chi NSĐP, vay và chi trả nợ gốc</t>
    </r>
  </si>
  <si>
    <t xml:space="preserve">   (2) Ước thực hiện tăng so với dựu toán giao là trong năm được cấp có thẩm quyền giao bổ sung từ nguồn Trung ương bổ sung có mục tiêu, nguồn năm trước chuyển sang, nguồn tăng thu NSĐP....</t>
  </si>
  <si>
    <t xml:space="preserve">              Đối với các chỉ tiêu chi NSĐP, so sánh dự toán năm kế hoạch với dự toán năm hiện hành.</t>
  </si>
  <si>
    <t xml:space="preserve">         (3) Đối với các chỉ tiêu thu NSĐP, so sánh dự toán năm kế hoạch với ước thực hiện năm hiện hành. </t>
  </si>
  <si>
    <t xml:space="preserve">         (2) Theo quy định tại Điều 7, Điều 11 Luật NSNN, ngân sách huyện, xã không có nhiệm vụ chi trả nợ lãi vay, thu - chi quỹ dự trữ tài chính, bội chi NSĐP, vay và chi trả nợ gốc.</t>
  </si>
  <si>
    <r>
      <rPr>
        <b/>
        <i/>
        <sz val="14"/>
        <rFont val="Times New Roman"/>
        <family val="1"/>
      </rPr>
      <t>Ghi chú</t>
    </r>
    <r>
      <rPr>
        <i/>
        <sz val="10"/>
        <rFont val="Times New Roman"/>
        <family val="1"/>
      </rPr>
      <t>:</t>
    </r>
    <r>
      <rPr>
        <i/>
        <sz val="12"/>
        <rFont val="Times New Roman"/>
        <family val="1"/>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</si>
  <si>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TỔNG MỨC VAY CỦA NSĐP (2)</t>
  </si>
  <si>
    <t>CHI TRẢ NỢ GỐC CỦA NSĐP (2)</t>
  </si>
  <si>
    <t>BỘI CHI NSĐP/BỘI THU NSĐP (2)</t>
  </si>
  <si>
    <t>Chi từ nguồn hỗ trợ thực hiện các chế độ, chính sách theo quy định và một số chương trình mục tiêu</t>
  </si>
  <si>
    <t>Chi đầu tư thực hiện các chương trình mục tiêu, nhiệm vụ</t>
  </si>
  <si>
    <t>Chi cho vay từ nguồn vốn trong nước (Ủy thác qua ngân hàng CSXH)</t>
  </si>
  <si>
    <t xml:space="preserve">                - Trích 2% Quỹ phát triển đất tỉnh từ nguồn thu tiền sử dụng đất giao tăng thu</t>
  </si>
  <si>
    <t>Trong đó: 2% bổ sung nguồn dự toán từ nguồn tăng thu so với dự toán Trung ương giao</t>
  </si>
  <si>
    <t>Chi đầu tư phát triển  (1)</t>
  </si>
  <si>
    <t>Thu từ quỹ dự trữ tài chính</t>
  </si>
  <si>
    <t>So sánh (3)</t>
  </si>
  <si>
    <t>Dự toán năm 2025</t>
  </si>
  <si>
    <t xml:space="preserve"> CÂN ĐỐI NGÂN SÁCH ĐỊA PHƯƠNG NĂM 2025</t>
  </si>
  <si>
    <t>Biểu mẫu số 15</t>
  </si>
  <si>
    <t>Biểu mẫu số 16</t>
  </si>
  <si>
    <t>DỰ TOÁN THU NGÂN SÁCH NHÀ NƯỚC THEO LĨNH VỰC NĂM 2025</t>
  </si>
  <si>
    <t>TỔNG THU NSNN</t>
  </si>
  <si>
    <t>Thu từ khu vực DNNN do trung ương quản lý (1)</t>
  </si>
  <si>
    <t>Thu từ khu vực DNNN do địa phương quản lý (2)</t>
  </si>
  <si>
    <t>Thu từ khu vực doanh nghiệp có vốn đầu tư nước ngoài (3)</t>
  </si>
  <si>
    <t>Thu từ khu vực kinh tế ngoài quốc doanh (4)</t>
  </si>
  <si>
    <t>Thuế  BVMT thu từ hàng hóa sản xuất, kinh doanh trong nước</t>
  </si>
  <si>
    <t>Thuế  BVMT thu từ hàng hóa nhập khẩu</t>
  </si>
  <si>
    <t xml:space="preserve">Thu phí, lệ phí </t>
  </si>
  <si>
    <t xml:space="preserve"> Phí và lệ phí trung ương</t>
  </si>
  <si>
    <t xml:space="preserve"> Phí và lệ phí địa phương</t>
  </si>
  <si>
    <t xml:space="preserve"> Phí và lệ phí tỉnh</t>
  </si>
  <si>
    <t xml:space="preserve"> Phí và lệ phí huyện</t>
  </si>
  <si>
    <t xml:space="preserve"> Phí và lệ phí xã, phường</t>
  </si>
  <si>
    <t>Tiền cho thuê đất, thuê mặt nước</t>
  </si>
  <si>
    <t>Tiền cho thuê và tiền bán nhà ở thuộc sở hữu nhà nước</t>
  </si>
  <si>
    <t>Thu từ hoạt động xổ số kiến thiết</t>
  </si>
  <si>
    <t>Thu tiền cấp quyền khai thác khoáng sản</t>
  </si>
  <si>
    <t>Thu từ quỹ đất công ích, hoa lợi công sản khác</t>
  </si>
  <si>
    <t>Thu hồi vốn, thu cổ tức (5)</t>
  </si>
  <si>
    <t>Lợi nhuận được chia của Nhà nước và lợi nhuận sau thuế còn lại sau khi trích lập các quỹ của doanh nghiệp nhà nước (5)</t>
  </si>
  <si>
    <t>Chênh lệch thu chi Ngân hàng Nhà nước (5)</t>
  </si>
  <si>
    <t>Tăng thu từ các dự án khai thác quỹ đất so với dự toán Trung ương giao (Bao gồm Ghi thu tiền thuê đất, tiền sử dụng đất tương ứng số tiền đền bù GPMB của các DA đầu tư mà nhà đầu tư đã tự nguyện ứng trước)</t>
  </si>
  <si>
    <t>Trong đó: - Thu tiền thuê đất</t>
  </si>
  <si>
    <t xml:space="preserve">                   - Tiền bán tài sản trên đất</t>
  </si>
  <si>
    <t xml:space="preserve">                  - Tiền sử dụng đất</t>
  </si>
  <si>
    <t>Thu từ dầu thô</t>
  </si>
  <si>
    <t>Thuế GTGT thu từ hàng hóa nhập khẩu</t>
  </si>
  <si>
    <t>Thuế TTĐB thu từ hàng hóa nhập khẩu</t>
  </si>
  <si>
    <t>Thuế BVMT thu từ hàng hóa nhập khẩu</t>
  </si>
  <si>
    <r>
      <rPr>
        <b/>
        <i/>
        <sz val="14"/>
        <rFont val="Times New Roman"/>
        <family val="1"/>
      </rPr>
      <t>Ghi chú</t>
    </r>
    <r>
      <rPr>
        <i/>
        <sz val="14"/>
        <rFont val="Times New Roman"/>
        <family val="1"/>
      </rPr>
      <t>:</t>
    </r>
  </si>
  <si>
    <t>(1) Doanh nghiệp nhà nước do trung ương quản lý là doanh nghiệp do bộ, cơ quan ngang bộ, cơ quan thuộc Chính phủ, cơ quan khác ở trung ương đại diện Nhà nước chủ sở hữu 100% vốn điều lệ.</t>
  </si>
  <si>
    <t>(5)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nước,chênh lệch thu, chi Ngân hàng Nhà nước, thu từ dầu thô, thu từ hoạt động xuất, nhập khẩu. Thu chênh lệch thu, chi Ngân hàng Nhà nước chỉ áp dụng đối với thành phố Hà Nội.</t>
  </si>
  <si>
    <t xml:space="preserve">       (2) Thu NSNN trên địa bàn huyện, xã không có thu từ dầu thô, thu từ hoạt động xuất, nhập khẩu.  Các chỉ tiêu cột 3, 4, 7, 8 chỉ ghi dòng tổng số.</t>
  </si>
  <si>
    <r>
      <rPr>
        <b/>
        <i/>
        <sz val="14"/>
        <rFont val="Times New Roman"/>
        <family val="1"/>
      </rPr>
      <t>Ghi chú</t>
    </r>
    <r>
      <rPr>
        <i/>
        <sz val="12"/>
        <rFont val="Times New Roman"/>
        <family val="1"/>
      </rPr>
      <t>:(1) Thu ngân sách nhà nước trên địa bàn tỉnh chi tiết đến từng huyện; thu ngân sách nhà nước trên địa bàn huyện chi tiết đến từng xã.</t>
    </r>
  </si>
  <si>
    <t>Huyện Tu Mơ Rông</t>
  </si>
  <si>
    <t>Huyện Kon Plông</t>
  </si>
  <si>
    <t>Huyện Kon Rẫy</t>
  </si>
  <si>
    <t>Huyện Ia H'Drai</t>
  </si>
  <si>
    <t>Huyện Sa Thầy</t>
  </si>
  <si>
    <t>Huyện Đăk Glei</t>
  </si>
  <si>
    <t>Huyện Ngọc Hồi</t>
  </si>
  <si>
    <t>Huyện Đăk Tô</t>
  </si>
  <si>
    <t>Huyện Đăk Hà</t>
  </si>
  <si>
    <t>Thành phố Kon Tum</t>
  </si>
  <si>
    <t>TỔNG SỐ (2)</t>
  </si>
  <si>
    <t>13=8/4</t>
  </si>
  <si>
    <t>12=7/3</t>
  </si>
  <si>
    <t>11=6/2</t>
  </si>
  <si>
    <t>109=5/1</t>
  </si>
  <si>
    <t>Thu từ hoạt động XNK</t>
  </si>
  <si>
    <t>Tên đơn vị (1)</t>
  </si>
  <si>
    <t>(Kèm theo Tờ trình số         /TTr-UBND ngày      tháng 11 năm 2024 của Ủy ban nhân dân tỉnh Kon Tum)</t>
  </si>
  <si>
    <t>ĐÁNH GIÁ THỰC HIỆN THU NGÂN SÁCH NHÀ NƯỚC TRÊN ĐỊA BÀN TỪNG HUYỆN NĂM 2024</t>
  </si>
  <si>
    <t>Biểu mẫu số 20</t>
  </si>
  <si>
    <t>Biểu mẫu số 31</t>
  </si>
  <si>
    <t>DỰ TOÁN THU NGÂN SÁCH NHÀ NƯỚC TRÊN ĐỊA BÀN TỪNG  HUYỆN NĂM 2025</t>
  </si>
  <si>
    <t>(Kèm theo Tờ trình số       /TTr-UBND ngày       tháng 11 năm 2024 của Ủy ban nhân dân tỉnh Kon Tum)</t>
  </si>
  <si>
    <t>10=6/1</t>
  </si>
  <si>
    <t>11=7/2</t>
  </si>
  <si>
    <t>12=8/3</t>
  </si>
  <si>
    <t>13=9/4</t>
  </si>
  <si>
    <r>
      <rPr>
        <b/>
        <i/>
        <sz val="14"/>
        <rFont val="Times New Roman"/>
        <family val="1"/>
      </rPr>
      <t>Ghi chú</t>
    </r>
    <r>
      <rPr>
        <i/>
        <sz val="12"/>
        <rFont val="Times New Roman"/>
        <family val="1"/>
      </rPr>
      <t>: (1) Thu ngân sách nhà nước trên địa bàn tỉnh chi tiết đến từng huyện; thu ngân sách nhà nước trên địa bàn huyện chi tiết đến từng xã.</t>
    </r>
  </si>
  <si>
    <t xml:space="preserve">        (2) Thu NSNN trên địa bàn huyện, xã không có thu từ dầu thô, thu từ hoạt động xuất, nhập khẩu.  Các chỉ tiêu cột 3, 4, 7, 8 chỉ ghi dòng tổng số.</t>
  </si>
  <si>
    <t>Biểu mẫu số 32</t>
  </si>
  <si>
    <t>DỰ TOÁN THU NGÂN SÁCH NHÀ NƯỚC TRÊN ĐỊA BÀN TỪNG  HUYỆN THEO LĨNH VỰC NĂM 2025</t>
  </si>
  <si>
    <t>Đơn vị: Triệu đồng.</t>
  </si>
  <si>
    <t>Tổng thu NSNN trên địa bàn</t>
  </si>
  <si>
    <t>I- Thu nội địa (2)</t>
  </si>
  <si>
    <t xml:space="preserve">Bao gồm </t>
  </si>
  <si>
    <t>II- Thu từ dầu thô (3)</t>
  </si>
  <si>
    <t>III- Thu từ hoạt động xuất nhập khẩu (3)</t>
  </si>
  <si>
    <t>1. Thu từ  khu vực  DNNN do trung ương quản lý</t>
  </si>
  <si>
    <t>2. Thu từ  khu vực  DNNN do địa phương quản lý</t>
  </si>
  <si>
    <t xml:space="preserve">3. Thu từ khu vực doanh nghiệp có vốn đầu tư nước ngoài </t>
  </si>
  <si>
    <t xml:space="preserve">4. Thu từ khu vực kinh tế ngoài quốc doanh </t>
  </si>
  <si>
    <t>5. Thuế thu nhập cá nhân</t>
  </si>
  <si>
    <t>6. Thuế bảo vệ môi trường</t>
  </si>
  <si>
    <t>7. Lệ phí trước bạ</t>
  </si>
  <si>
    <t>8. Thu phí, lệ phí</t>
  </si>
  <si>
    <t>9. Thuế sử dụng đất nông nghiệp</t>
  </si>
  <si>
    <t>10. Thuế sử dụng đất phi nông nghiệp</t>
  </si>
  <si>
    <t>11. Thu cho thuê mặt đất mặt nước</t>
  </si>
  <si>
    <t>12. Thu tiền sử dụng đất</t>
  </si>
  <si>
    <t>13. Thu tiền cho thuê và bán nhà ở thuộc sở hữu nhà nước</t>
  </si>
  <si>
    <t xml:space="preserve">14. Thu từ hoạt động xổ số kiến thiết </t>
  </si>
  <si>
    <t>15. Thu tiền cấp quyền khai thác khoáng sản, tài nguyên nước</t>
  </si>
  <si>
    <t>16. Thu khác ngân sách</t>
  </si>
  <si>
    <t>17. Thu từ quỹ đất công ích, thu hoa lợi, công sản tại xã</t>
  </si>
  <si>
    <t>18. Thu cổ tức, lợi nhuận sau thuế</t>
  </si>
  <si>
    <t>19. Tăng thu từ các dự án khai thác quỹ đất so với dự toán Trung ương giao (4)</t>
  </si>
  <si>
    <t>1. Thuế giá trị gia tăng thu từ hàng hóa nhập khẩu</t>
  </si>
  <si>
    <t>2. Thuế xuất khẩu</t>
  </si>
  <si>
    <t>3. Thuế nhập khẩu</t>
  </si>
  <si>
    <t>4. Thuế tiêu thụ đặc biệt thu từ hàng hóa nhập khẩu</t>
  </si>
  <si>
    <t>5. Thuế bảo vệ môi trường thu từ hàng hóa nhập khẩu</t>
  </si>
  <si>
    <t>6. Thu khác</t>
  </si>
  <si>
    <t xml:space="preserve">       (2) Thu nội địa chi tiết từng khu vực thu, khoản thu.</t>
  </si>
  <si>
    <t xml:space="preserve">       (3) Thu NSNN trên địa bàn huyện, xã không có thu từ dầu thô, thu từ hoạt động xuất, nhập khẩu. Các chỉ tiêu cột 6, 7, 8, 9, 10, 11, 12, 13 chỉ ghi dòng tổng số.</t>
  </si>
  <si>
    <t xml:space="preserve">      (4) Bao gồm Ghi thu tiền thuê đất, tiền sử dụng đất tương ứng số tiền đền bù GPMB của các DA đầu tư mà nhà đầu tư đã tự nguyện ứng trước và phân bổ chi đầu tư các dự án, nhiệm vụ theo tiến độ nguồn thu thực tế</t>
  </si>
  <si>
    <t>Biểu mẫu số 39</t>
  </si>
  <si>
    <t>DỰ TOÁN THU, CHI NGÂN SÁCH ĐỊA PHƯƠNG VÀ SỐ BỔ SUNG CÂN ĐỐI 
TỪ NGÂN SÁCH CẤP TRÊN CHO NGÂN SÁCH CẤP DƯỚI NĂM 2025</t>
  </si>
  <si>
    <t>ĐVT: Triệu đồng</t>
  </si>
  <si>
    <t>Stt</t>
  </si>
  <si>
    <t>Tổng thu NSNN trên địa bàn (1)</t>
  </si>
  <si>
    <t>Thu ngân sách huyện được hưởng theo phân cấp</t>
  </si>
  <si>
    <t>Số bổ sung cân đối từ ngân sách cấp tỉnh</t>
  </si>
  <si>
    <t>Số bổ sung thực hiện tiền lương</t>
  </si>
  <si>
    <t>Tổng chi cân đối ngân sách huyện</t>
  </si>
  <si>
    <t xml:space="preserve">Chia ra </t>
  </si>
  <si>
    <t>Thu ngân sách huyện hưởng 100%</t>
  </si>
  <si>
    <t>Thu ngân sách huyện hưởng từ các khoản thu phân chia (theo phân cấp HĐND cấp tỉnh)</t>
  </si>
  <si>
    <t xml:space="preserve">Huyện Ngọc Hồi </t>
  </si>
  <si>
    <t>Huyện Kon Plong</t>
  </si>
  <si>
    <r>
      <rPr>
        <sz val="13"/>
        <rFont val="Times New Roman"/>
        <family val="1"/>
      </rPr>
      <t xml:space="preserve">Ghi chú: </t>
    </r>
    <r>
      <rPr>
        <i/>
        <sz val="13"/>
        <rFont val="Times New Roman"/>
        <family val="1"/>
      </rPr>
      <t>(1) Bao gồm số thu thuế XNK trên địa bàn 320.000 triệu đồng</t>
    </r>
  </si>
  <si>
    <t>Biểu mẫu số 21</t>
  </si>
  <si>
    <t>ĐÁNH GIÁ THỰC HIỆN THU NGÂN SÁCH NHÀ NƯỚC TRÊN ĐỊA BÀN TỪNG  HUYỆN THEO LĨNH VỰC NĂM 2024</t>
  </si>
  <si>
    <t>IV- Thu huy động đóng góp</t>
  </si>
  <si>
    <t xml:space="preserve">       (4) Bao gồm Ghi thu tiền thuê đất, tiền sử dụng đất tương ứng số tiền đền bù GPMB của các DA đầu tư mà nhà đầu tư đã tự nguyện ứng trước và phân bổ chi đầu tư các dự án, nhiệm vụ theo tiến độ nguồn thu thực tế)</t>
  </si>
  <si>
    <t>(Kèm theo Tờ trình số        /TTr-UBND ngày        tháng 11 năm 2024 của Ủy ban nhân dân tỉnh Kon Tum)</t>
  </si>
  <si>
    <t>Bội chi NSĐP/Bội thu NSĐP</t>
  </si>
  <si>
    <t xml:space="preserve">Chi thuộc nhiệm vụ của ngân sách cấp huyện </t>
  </si>
  <si>
    <t>Biểu mẫu số 14</t>
  </si>
  <si>
    <t>ĐÁNH GIÁ THỰC HIỆN CHI NGÂN SÁCH ĐỊA PHƯƠNG THEO CƠ CẤU CHI NĂM 2024</t>
  </si>
  <si>
    <t>(Kèm theo Tờ trình số       /TTr-UBND ngày       tháng     năm       của Ủy ban nhân dân tỉnh Kon Tum)</t>
  </si>
  <si>
    <t>TỔNG CHI NGÂN SÁCH ĐỊA PHƯƠNG</t>
  </si>
  <si>
    <t>TỔNG CHI NGÂN SÁCH ĐỊA PHƯƠNG (BAO GỒM BỘI CHI NSĐP)</t>
  </si>
  <si>
    <t>CHI CÂN ĐỐI NGÂN SÁCH ĐỊA PHƯƠNG</t>
  </si>
  <si>
    <t>Trong đó chia theo lĩnh vực:</t>
  </si>
  <si>
    <t>Trong đó chia theo nguồn vốn:</t>
  </si>
  <si>
    <t>Chi đầu tư và hỗ trợ vốn cho doanh nghiệp cung cấp sản phẩm, dịch vụ công ích do Nhà nước đặt hàng, các tổ chức kinh tế, các tổ chức tài chính của địa phương theo quy định của pháp luật</t>
  </si>
  <si>
    <t>Chi trả nợ lãi, gốc các khoản do chính quyền địa phương vay</t>
  </si>
  <si>
    <t>Chi bổ sung quỹ dự trữ tài chính</t>
  </si>
  <si>
    <t>Chi từ nguồn thu các dự án khai thác quỹ đất so với dự toán Trung ương giao (Bao gồm chi đền bù GPMB của các DA đầu tư mà nhà đầu tư đã tự nguyện ứng trước từ nguồn thu tiền thuê đất, tiền sử dụng đất  phân bổ cho các dự án, nhiệm vụ theo tiến độ nguồn thu thực tế)</t>
  </si>
  <si>
    <t>VIII</t>
  </si>
  <si>
    <t>CHI TỪ NGUỒN BỘI CHI NSĐP</t>
  </si>
  <si>
    <t>Bổ sung mục tiêu vốn sự nghiệp</t>
  </si>
  <si>
    <t>Vốn ngoài nước  (1)</t>
  </si>
  <si>
    <t>Sở Văn hóa Thể thao và DL</t>
  </si>
  <si>
    <t>Hội chữ thập đỏ tỉnh Kon Tum</t>
  </si>
  <si>
    <t>Sửa chữa các tuyến đường giao thông bị hư hỏng, xuống cấp</t>
  </si>
  <si>
    <t>Sửa chữa nền, mặt đường, công trình thoát nước, hệ thống an toàn giao thông đoạn Km0 - Km3 đường ĐH.53, đường từ cầu Đăk Ang đến xã Đăk Rơ Nga, đường giao thông từ đường Hồ Chí Minh đi xã Đăk Ang (Triển khi thực hiện sau khi đảm bảo đầy đủ hồ sơ theo quy trình quy định)</t>
  </si>
  <si>
    <t>Công ty TNHH MTV lâm nghiệp Kon Rẫy</t>
  </si>
  <si>
    <t>UBND huyện Kon Plông</t>
  </si>
  <si>
    <t>Ban Chỉ đạo, Văn phòng Ban chỉ đạo Chương trình</t>
  </si>
  <si>
    <r>
      <rPr>
        <b/>
        <i/>
        <sz val="14"/>
        <rFont val="Times New Roman"/>
        <family val="1"/>
      </rPr>
      <t>Ghi chú</t>
    </r>
    <r>
      <rPr>
        <i/>
        <sz val="14"/>
        <rFont val="Times New Roman"/>
        <family val="1"/>
      </rPr>
      <t>:</t>
    </r>
    <r>
      <rPr>
        <i/>
        <sz val="12"/>
        <rFont val="Times New Roman"/>
        <family val="1"/>
      </rPr>
      <t xml:space="preserve"> (1) Theo quy định tại Điều 7, Điều 11 và Điều 39 Luật NSNN, ngân sách huyện, xã không có nhiệm vụ chi </t>
    </r>
  </si>
  <si>
    <t>Biểu mẫu số 27</t>
  </si>
  <si>
    <t>ĐÁNH GIÁ THỰC HIỆN CHI CÂN ĐỐI NGÂN SÁCH TỪNG HUYỆN NĂM 2024</t>
  </si>
  <si>
    <t>Huyện/TP 
(1)</t>
  </si>
  <si>
    <t>Dự toán chi NSĐP năm 2024 (3)</t>
  </si>
  <si>
    <t>Ước thực hiện chi NSĐP năm 2024 (4)</t>
  </si>
  <si>
    <t>Chi đầu tư từ nguồn vốn trong nước</t>
  </si>
  <si>
    <r>
      <t xml:space="preserve">Chi đầu tư từ nguồn thu XSKT </t>
    </r>
    <r>
      <rPr>
        <sz val="14"/>
        <rFont val="Times New Roman"/>
        <family val="1"/>
      </rPr>
      <t>(nếu có)</t>
    </r>
  </si>
  <si>
    <t>Chi đầu tư cơ sở hạ tầng, trụ sở làm việc mới (nếu có) theo đề án, phương án được cấp tỉnh phê duyệt từ nguồn giao tăng thu so với dự toán trung ương giao và phân bổ theo tiến độ nguồn thu thực tế phát sinh nộp vào ngân sách nhà nước</t>
  </si>
  <si>
    <t>Chi giáo dục, đào tạo và dạy nghề</t>
  </si>
  <si>
    <t>Chi khoa học và công nghệ (2)</t>
  </si>
  <si>
    <t>Chi cân đối ngân sách huyện</t>
  </si>
  <si>
    <t xml:space="preserve">Chi từ nguồn Ngân sách tỉnh bổ sung </t>
  </si>
  <si>
    <t>Chi từ nguồn Ngân sách tỉnh bổ sung phân cấp vốn đầu tư phát triển</t>
  </si>
  <si>
    <t>9a</t>
  </si>
  <si>
    <t>9b</t>
  </si>
  <si>
    <t>12a</t>
  </si>
  <si>
    <t>12b</t>
  </si>
  <si>
    <t>18a</t>
  </si>
  <si>
    <t>18b</t>
  </si>
  <si>
    <t>21=11/1</t>
  </si>
  <si>
    <t>22=12/2</t>
  </si>
  <si>
    <t>23=13/3</t>
  </si>
  <si>
    <t>24=14/4</t>
  </si>
  <si>
    <t>25=15/5</t>
  </si>
  <si>
    <t>26=16/6</t>
  </si>
  <si>
    <t>27=17/7</t>
  </si>
  <si>
    <t>28=18/8</t>
  </si>
  <si>
    <t>29=19/9</t>
  </si>
  <si>
    <t>30=20/10</t>
  </si>
  <si>
    <t>Huyện Ia'H Drai</t>
  </si>
  <si>
    <r>
      <rPr>
        <b/>
        <sz val="14"/>
        <rFont val="Times New Roman"/>
        <family val="1"/>
      </rPr>
      <t>Ghi chú</t>
    </r>
    <r>
      <rPr>
        <sz val="12"/>
        <rFont val="Times New Roman"/>
        <family val="1"/>
      </rPr>
      <t>: (1)  Chi ngân sách tỉnh chi tiết đến từng huyện; chi ngân sách huyện chi tiết đến từng xã.</t>
    </r>
  </si>
  <si>
    <t xml:space="preserve">      (2) Theo quy định tại Điều 39 Luật NSNN, ngân sách huyện, xã không có nhiệm vụ chi nghiên cứu khoa học và công nghệ.</t>
  </si>
  <si>
    <t xml:space="preserve">      (4) Bao gồm dự toán chi cân đối ngân sách huyện và bổ sung từ ngân sách cấp tỉnh cho ngân sách huyện, thành phố</t>
  </si>
  <si>
    <t xml:space="preserve">      (3) Bao gồm ước thực hiện dự toán chi cân đối ngân sách huyện và bổ sung từ ngân sách cấp tỉnh cho ngân sách huyện, thành phố</t>
  </si>
  <si>
    <t>Biểu mẫu số 41</t>
  </si>
  <si>
    <t>DỰ TOÁN CHI NGÂN SÁCH ĐỊA PHƯƠNG TỪNG HUYỆN NĂM 2025</t>
  </si>
  <si>
    <t>Tổng chi NSĐP</t>
  </si>
  <si>
    <t>Tổng chi cân đối ngân sách địa phương</t>
  </si>
  <si>
    <t>Chi chương trình mục tiêu</t>
  </si>
  <si>
    <t>Tổng  số</t>
  </si>
  <si>
    <t>Bổ sung vốn đầu tư để thực hiện các chương trình mục tiêu, nhiệm vụ</t>
  </si>
  <si>
    <t>Bổ sung vốn sự nghiệp thực hiện các chế độ, chính sách</t>
  </si>
  <si>
    <t>Bổ sung thực hiện các chương trình mục tiêu quốc gia</t>
  </si>
  <si>
    <t>1=2+15+19</t>
  </si>
  <si>
    <t>2=3+9+12+13+14</t>
  </si>
  <si>
    <t>3=6+7+8+9</t>
  </si>
  <si>
    <t>16=17+18+19</t>
  </si>
  <si>
    <r>
      <rPr>
        <b/>
        <i/>
        <sz val="12"/>
        <rFont val="Times New Roman"/>
        <family val="1"/>
      </rPr>
      <t>Ghi chú</t>
    </r>
    <r>
      <rPr>
        <i/>
        <sz val="12"/>
        <rFont val="Times New Roman"/>
        <family val="1"/>
      </rPr>
      <t>: (1) Chi ngân sách tỉnh chi tiết đến từng huyện; chi ngân sách huyện chi tiết đến từng xã.</t>
    </r>
  </si>
  <si>
    <t xml:space="preserve">      (2) Theo quy định tại Điều 7, Điều 11 và Điều 39 Luật NSNN, ngân sách huyện, xã không có nhiệm vụ chi nghiên cứu khoa học và công nghệ.</t>
  </si>
  <si>
    <t>Biểu mẫu số 17</t>
  </si>
  <si>
    <t>DỰ TOÁN CHI NGÂN SÁCH ĐỊA PHƯƠNG THEO CƠ CẤU CHI NĂM 2025</t>
  </si>
  <si>
    <t>Trong đó: 2% bổ sung nguồn dự toán từ nguồn tăng thu so với dự toán Trung ương giao (3)</t>
  </si>
  <si>
    <t xml:space="preserve">                 - Trích 10% thu tiền sử dụng đất, tiền thuê đất để đầu tư cho công tác đo đạc, đăng ký đất đai, cấp Giấy chứng nhận, xây dựng cơ sở dữ liệu đất đai và đăng ký biến động, chỉnh lý hồ sơ địa chính thường xuyên theo Chỉ thị số 1474/CT-TTg ngày 24/8/2011 của Thủ tướng Chính phủ</t>
  </si>
  <si>
    <t>IX</t>
  </si>
  <si>
    <t>Đầu tư</t>
  </si>
  <si>
    <t>Thường xuyên</t>
  </si>
  <si>
    <t>Kiểm định, sơn sửa cầu treo Kon Klor Tỉnh lộ 671, thành phố Kon Tum (triển khi thực hiện sau khi đảm bảo đầy đủ hồ sơ theo quy trình quy định)</t>
  </si>
  <si>
    <t>Sửa chữa nền, mặt đường, công trình thoát nước, ATGT các đoạn còn lại ĐH 53 (đường liên xã Kon Đào - Ngọc Tụ - Đăk Rơ Nga)  (triển khi thực hiện sau khi đảm bảo đầy đủ hồ sơ theo quy trình quy định)</t>
  </si>
  <si>
    <r>
      <t xml:space="preserve">  </t>
    </r>
    <r>
      <rPr>
        <b/>
        <i/>
        <sz val="12"/>
        <rFont val="Times New Roman"/>
        <family val="1"/>
      </rPr>
      <t>Ghi chú</t>
    </r>
    <r>
      <rPr>
        <i/>
        <sz val="12"/>
        <rFont val="Times New Roman"/>
        <family val="1"/>
      </rPr>
      <t xml:space="preserve">:(1) Năm đầu thời kỳ ổn định ngân sách, dự toán chi đầu tư phát triển ngân sách địa phương được xác định bằng </t>
    </r>
  </si>
  <si>
    <t xml:space="preserve">                định mức phân bổ chi đầu tư phát triển do Ủy ban thường vụ Quốc hội quyết định cộng với (+) số bội chi ngân sách </t>
  </si>
  <si>
    <t xml:space="preserve">               địa phương (nếu có) hoặc trừ đi (-) số bội thu ngân sách địa phương và chi trả nợ lãi (nếu có).</t>
  </si>
  <si>
    <t xml:space="preserve">          (2) Theo quy định tại Điều 7, Điều 11 và Điều 39 Luật NSNN, ngân sách huyện, xã không có nhiệm vụ chi </t>
  </si>
  <si>
    <t xml:space="preserve">             nghiên cứu khoa học và công nghệ, chi trả lãi vay, chi bổ sung quỹ dự trữ tài chính.</t>
  </si>
  <si>
    <t xml:space="preserve">       (3) Trích bổ sung nguồn Dự phòng ngân sách tỉnh theo tiến độ nguồn thu tiền thuê đất, bán tài sản trên đất phát sinh thực nộp vào ngân sách nhà nước</t>
  </si>
  <si>
    <t>Biểu mẫu số 22</t>
  </si>
  <si>
    <t>ĐÁNH GIÁ THỰC HIỆN CHI NGÂN SÁCH ĐỊA PHƯƠNG, CHI NGÂN SÁCH CẤP TỈNH VÀ CHI NGÂN SÁCH HUYỆN THEO CƠ CẤU CHI NĂM 2024</t>
  </si>
  <si>
    <t xml:space="preserve">Ngân sách cấp tỉnh </t>
  </si>
  <si>
    <t xml:space="preserve">Ngân sách huyện </t>
  </si>
  <si>
    <t>4=5+6</t>
  </si>
  <si>
    <t>7=4/1</t>
  </si>
  <si>
    <t>8=5/2</t>
  </si>
  <si>
    <t>9=6/3</t>
  </si>
  <si>
    <t xml:space="preserve">Chi đầu tư phát triển </t>
  </si>
  <si>
    <t xml:space="preserve"> Chi khoa học và công nghệ </t>
  </si>
  <si>
    <t>Chi trả nợ gốc, lãi các khoản do chính quyền địa phương vay</t>
  </si>
  <si>
    <t>Chi từ nguồn tăng thu các dự án khai thác quỹ đất so với dự toán Trung ương giao (phân bổ cho các dự án, nhiệm vụ theo tiến độ nguồn thu thực tế) (1)</t>
  </si>
  <si>
    <t>Kinh phí sự nghiệp từ ngân sách trung ương để thực hiện Chương trình MTQG Phát triển KTXH vùng đồng bào DTTS&amp;MN năm 2022</t>
  </si>
  <si>
    <t>*</t>
  </si>
  <si>
    <t>**</t>
  </si>
  <si>
    <t>CHI CHUYỂN NGUỒN SANG NĂM SAU</t>
  </si>
  <si>
    <r>
      <rPr>
        <b/>
        <i/>
        <sz val="14"/>
        <rFont val="Times New Roman"/>
        <family val="1"/>
      </rPr>
      <t>Ghi chú</t>
    </r>
    <r>
      <rPr>
        <i/>
        <sz val="14"/>
        <rFont val="Times New Roman"/>
        <family val="1"/>
      </rPr>
      <t>: (1) Theo quy định tại Điều 7, Điều 11 và Điều 39 Luật NSNN, ngân sách huyện, xã không có nhiệm vụ chi nghiên cứu khoa học và công nghệ, chi trả lãi vay, chi bổ sung quỹ dự trữ tài chính.</t>
    </r>
  </si>
  <si>
    <t>Biểu mẫu số 18</t>
  </si>
  <si>
    <t>BỘI CHI VÀ PHƯƠNG ÁN VAY - TRẢ NỢ NGÂN SÁCH ĐỊA PHƯƠNG  NĂM 2025</t>
  </si>
  <si>
    <t xml:space="preserve">So sánh </t>
  </si>
  <si>
    <t>THU NSĐP</t>
  </si>
  <si>
    <t>BỘI CHI NSĐP/BỘI THU NSĐP</t>
  </si>
  <si>
    <t>HẠN MỨC DƯ NỢ VAY TỐI ĐA CỦA NSĐP THEO QUY ĐỊNH</t>
  </si>
  <si>
    <t>KẾ HOẠCH VAY, TRẢ NỢ GỐC</t>
  </si>
  <si>
    <t>Tổng dư nợ đầu năm</t>
  </si>
  <si>
    <t>Tỷ lệ mức dư nợ đầu kỳ so với mức dư nợ vay tối đa của ngân sách địa phương (%)</t>
  </si>
  <si>
    <t>Trái phiếu chính quyền địa phương</t>
  </si>
  <si>
    <t xml:space="preserve">Vay lại từ nguồn nước ngoài Chính phủ vay </t>
  </si>
  <si>
    <t>Dự án Sửa chữa và nâng cao an toàn đập</t>
  </si>
  <si>
    <t>Chương trình “Mở rộng quy mô nước sạch và vệ sinh nông thôn dựa trên kết quả đầu ra"</t>
  </si>
  <si>
    <t>Dự án Phát triển Khu vực biên giới tiểu dự án tỉnh Kon Tum</t>
  </si>
  <si>
    <t>Dự án Hiện đại hóa thủy lợi thích ứng biến đổi khí hậu sử dụng vốn ODA</t>
  </si>
  <si>
    <t>Dự án cải thiện cơ sở hạ tầng môi trường đô thị giảm thiểu tác động biến đổi khí hậu thành phố Kon Tum</t>
  </si>
  <si>
    <t>Vay tín dụng ưu đãi (Kiên cố hóa kênh mương, đường GTNT)</t>
  </si>
  <si>
    <t xml:space="preserve">Trả nợ gốc vay trong năm </t>
  </si>
  <si>
    <t>Theo nguồn vốn vay</t>
  </si>
  <si>
    <t>Theo nguồn trả nợ</t>
  </si>
  <si>
    <t>Tăng thu, tiết kiệm chi, kết dư ngân sách cấp tỉnh</t>
  </si>
  <si>
    <t>Chương trình Kiên cố hóa kênh mương và đường GTNT</t>
  </si>
  <si>
    <t>Tổng mức vay trong năm</t>
  </si>
  <si>
    <t>Theo mục đích vay</t>
  </si>
  <si>
    <t>Vay chi đầu tư phát triển</t>
  </si>
  <si>
    <t>Vay trả nợ gốc</t>
  </si>
  <si>
    <t>Theo nguồn vay</t>
  </si>
  <si>
    <t>(1)</t>
  </si>
  <si>
    <t>(2)</t>
  </si>
  <si>
    <t>Vay lại từ nguồn Chính phủ vay ngoài nước</t>
  </si>
  <si>
    <t xml:space="preserve">Dự án Hiện đại hóa thủy lợi thích ứng biến đổi khí hậu </t>
  </si>
  <si>
    <t>Dự án Vay vốn WB giai đoạn 2021-2025 (nâng cao an toàn hồ đập và hiện đại hóa hệ thống thủy lợi)</t>
  </si>
  <si>
    <t>Phát triển hạ tầng chuỗi giá trị nông nghiệp thông minh thích ứng với biến đổi khí hậu</t>
  </si>
  <si>
    <t>Dự án Giảm thiểu các tác động của dịch bệnh Corrona tới kinh tế và xã hội thông qua bảo vệ, phục hồi và phát triển rừng ở vùng Tây Nguyên</t>
  </si>
  <si>
    <t>Tổng dư nợ cuối năm</t>
  </si>
  <si>
    <t>Tỷ lệ mức dư nợ cuối kỳ so với mức dư nợ vay tối đa của ngân sách địa phương (%)</t>
  </si>
  <si>
    <t>F</t>
  </si>
  <si>
    <t>TRẢ NỢ LÃI, PHÍ</t>
  </si>
  <si>
    <t xml:space="preserve">Sở Giao thông Vận tải </t>
  </si>
  <si>
    <t xml:space="preserve">Sở Khoa học và Công nghệ </t>
  </si>
  <si>
    <t>Sở Lao động Thương binh và xã hội</t>
  </si>
  <si>
    <t>Sở Nông nghiệp và Phát triển Nông thôn</t>
  </si>
  <si>
    <t>Sở Ngoại vụ</t>
  </si>
  <si>
    <t>Sở Tài nguyên và Môi trương</t>
  </si>
  <si>
    <t>Sở Thông tin và Truyền thông</t>
  </si>
  <si>
    <t>Đảng ủy khối Cơ quan và doanh nghiệp tỉnh Kon Tum</t>
  </si>
  <si>
    <t>Văn phòng Ủy ban Nhân dân tỉnh</t>
  </si>
  <si>
    <t>Văn phòng Đoàn đại biểu Quốc hội và Hội đồng nhân dân tỉnh</t>
  </si>
  <si>
    <t>Ban quản lý dự án đầu tư XD các công trình GT, dân dụng và công nghiệp tỉnh Kon Tum</t>
  </si>
  <si>
    <t>Ban quản lý dự án chuyển đổi NN bền vững tỉnh Kon Tum</t>
  </si>
  <si>
    <t>Ban quản lý khu bảo tồn thiên nhiên Ngọc Linh</t>
  </si>
  <si>
    <t>Bệnh viện Đa khoa tỉnh Kon Tum</t>
  </si>
  <si>
    <t/>
  </si>
  <si>
    <t>Đài Phát thanh và Truyền hình</t>
  </si>
  <si>
    <t>Trung tâm Nước sạch và Vệ sinh môi trường nông thôn</t>
  </si>
  <si>
    <t>Quỹ phát triển đất tỉnh</t>
  </si>
  <si>
    <t>Trường Chính trị tỉnh Kon Tum</t>
  </si>
  <si>
    <t>Ban Dân tộc tỉnh</t>
  </si>
  <si>
    <t>Trung tâm Kiểm soát bệnh tật tỉnh Kon Tum</t>
  </si>
  <si>
    <t>UBND huyện Đăk Glei</t>
  </si>
  <si>
    <t>UBND huyện Sa Thầy</t>
  </si>
  <si>
    <t>UBND huyện Ngọc Hồi</t>
  </si>
  <si>
    <t xml:space="preserve">UBND huyện Kon PLông </t>
  </si>
  <si>
    <t>UBND huyện Đăk Tô</t>
  </si>
  <si>
    <t>2.27</t>
  </si>
  <si>
    <t>Biểu mẫu số 36</t>
  </si>
  <si>
    <t>DỰ TOÁN CHI ĐẦU TƯ PHÁT TRIỂN CỦA NGÂN SÁCH CẤP TỈNH CHO TỪNG CƠ QUAN, TỔ CHỨC THEO LĨNH VỰC NĂM 2025</t>
  </si>
  <si>
    <t xml:space="preserve">Trường Cao đẳng Kon Tum </t>
  </si>
  <si>
    <t>Các Chủ đầu tư khác, đối ứng các chương trình mục tiêu, trả nợ quyết toán dự án hoàn thành</t>
  </si>
  <si>
    <t>3.24</t>
  </si>
  <si>
    <t>3.25</t>
  </si>
  <si>
    <t>3.26</t>
  </si>
  <si>
    <t>3.27</t>
  </si>
  <si>
    <t>3.28</t>
  </si>
  <si>
    <t>3.29</t>
  </si>
  <si>
    <t>Biểu mẫu số 46</t>
  </si>
  <si>
    <t>DANH MỤC CÁC CHƯƠNG TRÌNH, DỰ ÁN SỬ DỤNG VỐN NGÂN SÁCH NHÀ NƯỚC NĂM 2025</t>
  </si>
  <si>
    <t>Danh mục dự án</t>
  </si>
  <si>
    <t>Mã số dự án</t>
  </si>
  <si>
    <t>Địa điểm xây dựng</t>
  </si>
  <si>
    <t>Thời gian KC-HT</t>
  </si>
  <si>
    <t>Quyết định đầu tư</t>
  </si>
  <si>
    <t>Giá trị khối lượng thực hiện giai đoạn 2021-2025 đến năm 2024</t>
  </si>
  <si>
    <t>Lũy kế vốn đã bố trí giai đoạn 2021 -2025 đến năm 2024</t>
  </si>
  <si>
    <t>Kế hoạch vốn năm 2025</t>
  </si>
  <si>
    <t>Số quyết định; ngày, tháng, năm ban hành</t>
  </si>
  <si>
    <t>Tổng mức đầu tư được duyệt</t>
  </si>
  <si>
    <t>Tổng số (tất cả các nguồn vốn)</t>
  </si>
  <si>
    <t>Chia theo nguồn vốn</t>
  </si>
  <si>
    <t>Ngân sách trung ương</t>
  </si>
  <si>
    <t>Ngoài nước</t>
  </si>
  <si>
    <t>TỔNG SỐ: (A+B+C)</t>
  </si>
  <si>
    <t>A.</t>
  </si>
  <si>
    <t>NGUỒN CÂN ĐỐI NGÂN SÁCH ĐỊA PHƯƠNG</t>
  </si>
  <si>
    <t>I.</t>
  </si>
  <si>
    <t>NGUỒN CÂN ĐỐI NSĐP THEO TIÊU CHÍ, ĐỊNH MỨC QUY ĐỊNH TẠI QĐ 26/2020/QĐ-TTG</t>
  </si>
  <si>
    <t>I.1</t>
  </si>
  <si>
    <t>PHÂN CÂP CHO NGÂN SÁCH CẤP HUYỆN</t>
  </si>
  <si>
    <t>UBND TP Kon Tum</t>
  </si>
  <si>
    <t>UBND huyện Đăk Hà</t>
  </si>
  <si>
    <t>I.2</t>
  </si>
  <si>
    <t>CHI NGÂN SÁCH TỈNH</t>
  </si>
  <si>
    <t>Cơ sở huấn luyện dự bị động viên/Bộ Chỉ huy Quân sự tỉnh Kon Tum</t>
  </si>
  <si>
    <t>2024-</t>
  </si>
  <si>
    <t>174-28/4/2023;
582-24/11/2023</t>
  </si>
  <si>
    <t>Đường hầm Sở chỉ huy cơ bản huyện Ia H'Drai</t>
  </si>
  <si>
    <t>Ia H'Drai</t>
  </si>
  <si>
    <t>NQ 03-09/7/2021;
1781-18/11/2022</t>
  </si>
  <si>
    <t>Chốt dân quân thường trực xã Ia Đal, huyện Ia H'Drai</t>
  </si>
  <si>
    <t>628-24/9/2021; 1640/QĐ-QK-16/6/2024</t>
  </si>
  <si>
    <t>Chốt dân quân thường trực xã Ia Tơi, huyện Ia H'Drai</t>
  </si>
  <si>
    <t>629-24/9/2021; 1639/QĐ-QK-16/6/2024</t>
  </si>
  <si>
    <t>Chốt dân quân thường trực xã Mô Rai, huyện Sa Thầy</t>
  </si>
  <si>
    <t>Sa Thầy</t>
  </si>
  <si>
    <t>630-24/9/2021; 
1642/QĐ-QK-16/6/2024</t>
  </si>
  <si>
    <t>Bổ sung thiết bị cho các trường theo chương trình giáo dục phổ thông năm 2018</t>
  </si>
  <si>
    <t>Kon Tum</t>
  </si>
  <si>
    <t>2022-</t>
  </si>
  <si>
    <t>NQ 29-29/4/2021; NQ 43-11/7/2024</t>
  </si>
  <si>
    <t>Toàn tỉnh</t>
  </si>
  <si>
    <t>Sở Nông nghiệp và PTNT</t>
  </si>
  <si>
    <t xml:space="preserve">Hiện đại hóa thủy lợi thích ứng biến đổi khí hậu - thành phần tỉnh Kon Tum </t>
  </si>
  <si>
    <t>148/TTg-QHQT, 02/02/2021; 
271-31/5/2023</t>
  </si>
  <si>
    <t>Nâng cấp hạ tầng công nghệ thông tin tại Trung tâm tích hợp dữ liệu tỉnh Kon Tum</t>
  </si>
  <si>
    <t>NQ 63-09/12/2021</t>
  </si>
  <si>
    <t>Sở Văn hóa, Thể thao và du lịch</t>
  </si>
  <si>
    <t>Trung tâm Văn hóa nghệ thuật tỉnh Kon Tum</t>
  </si>
  <si>
    <t>2021-</t>
  </si>
  <si>
    <t>1388-12/12/2018;
1461-23/12/2019</t>
  </si>
  <si>
    <t>Đường dẫn vào cầu số 03 qua sông Đăk Bla gắn với chỉnh trang đô thị</t>
  </si>
  <si>
    <t>Đường Trường Chinh (đoạn từ đường Phan Đình Phùng đến đường Đào Duy Từ - phạm vi cầu nối qua sông Đăk Bla)</t>
  </si>
  <si>
    <t>985-13/9/2019;
826-06/9/2021</t>
  </si>
  <si>
    <t>Sở Ngoại vụ (Cơ quan thường trực BCĐ công tác biên giới)</t>
  </si>
  <si>
    <t>Kè chống sạt lở bờ suối biên giới đoạn giữa cột mốc 22/3-23/4 trên biên giới đất liền Việt Nam - Campuchia</t>
  </si>
  <si>
    <t>NQ 35-13/7/2023;
563-14/11/2023</t>
  </si>
  <si>
    <t>Mua sắm bổ sung trang thiết bị, phương tiện đào tạo Trường Cao đẳng Kon Tum giai đoạn 2024-2025</t>
  </si>
  <si>
    <t>374-24/6/2024</t>
  </si>
  <si>
    <t>Đường giao thông từ xã Đăk Pne, huyện Kon Rẫy đi huyện Kbang, tỉnh Gia Lai</t>
  </si>
  <si>
    <t>Kon Rẫy</t>
  </si>
  <si>
    <t>NQ 08-12/3/2021;
NQ 14-05/7/2021; 635-04/10/2024</t>
  </si>
  <si>
    <t>Đường trung tâm phía Nam thị trấn Plei Kần</t>
  </si>
  <si>
    <t>Ngọc Hồi</t>
  </si>
  <si>
    <t>NQ 11-12/3/2021;
NQ 15-05/7/2021; 571-06/9/2024</t>
  </si>
  <si>
    <t>Đường từ trung tâm huyện Kon Plông kết nối đường Đông Trường Sơn</t>
  </si>
  <si>
    <t>Kon Plông</t>
  </si>
  <si>
    <t>NQ 31-09/7/2021;
485-24/8/2022; NQ 42-11/7/2024; 526-09/9/2024</t>
  </si>
  <si>
    <t>Cầu 16/5 thị trấn Đăk Glei, huyện Đăk Glei</t>
  </si>
  <si>
    <t>Đăk Glei</t>
  </si>
  <si>
    <t>NQ 52-29/4/2021;
1066-15/11/2021; 600-22/9/2024</t>
  </si>
  <si>
    <t>Các chủ đầu tư khác</t>
  </si>
  <si>
    <t>Trả nợ quyết toán dự án hoàn thành</t>
  </si>
  <si>
    <t>Đối ứng thực hiện các Chương trình mục tiêu quốc gia</t>
  </si>
  <si>
    <t>II.</t>
  </si>
  <si>
    <t>NGUỒN THU TIỀN SỬ DỤNG ĐẤT</t>
  </si>
  <si>
    <t>Phân cấp ngân sách các huyện, thành phố được hưởng</t>
  </si>
  <si>
    <t>Bổ sung chi phí quản lý đất đai tại huyện</t>
  </si>
  <si>
    <t>II.3</t>
  </si>
  <si>
    <t>Chi phí quản lý đất đai tại tỉnh</t>
  </si>
  <si>
    <t>Bổ sung quỹ phát triển đất</t>
  </si>
  <si>
    <t>Phân bổ chi đầu tư các dự án</t>
  </si>
  <si>
    <t>Dự án đầu tư chỉnh trang đô thị, tạo quỹ đất để thực hiện quy hoạch Khu phức hợp đô thị tại Phường Quang Trung, thành phố Kon Tum, tỉnh Kon Tum</t>
  </si>
  <si>
    <t>204-27/02/2019;
147-08/3/2021</t>
  </si>
  <si>
    <t>Bảo vệ, khôi phục và phát triển rừng bền vững trên địa bàn tỉnh Kon Tum giai đoạn 2021-2025</t>
  </si>
  <si>
    <t>NQ 31-29/4/2021;
NQ 19-3/05/2024</t>
  </si>
  <si>
    <t>Đầu tư xây dựng cải tạo, nâng cấp Tỉnh lộ 676 nối huyện Kon Plông, tỉnh Kon Tum với các huyện Sơn Tây, Sơn Hà, tỉnh Quảng Ngãi</t>
  </si>
  <si>
    <t>NQ 17-29/4/2021;
683-30/12/2021</t>
  </si>
  <si>
    <t>Trụ sở làm việc các đơn vị sự nghiệp thuộc tỉnh</t>
  </si>
  <si>
    <t>910-28/10/2015;
51-25/01/2021</t>
  </si>
  <si>
    <t>III.</t>
  </si>
  <si>
    <t>NGUỒN THU XỔ SỐ KIẾN THIẾT</t>
  </si>
  <si>
    <t>III.1</t>
  </si>
  <si>
    <t>a.</t>
  </si>
  <si>
    <t>Lĩnh vực giáo dục, đào tạo và giáo dục nghề nghiệp</t>
  </si>
  <si>
    <t>b.</t>
  </si>
  <si>
    <t>Lĩnh vực y tế, dân số và gia đình</t>
  </si>
  <si>
    <t>Nâng cấp Bệnh viện Đa khoa tỉnh Kon Tum từ bệnh viện hạng II lên bệnh viện hạng I quy mô 750 giường bệnh (giai đoạn 2)</t>
  </si>
  <si>
    <t>2022-2025</t>
  </si>
  <si>
    <t>NQ 29-09/7/2021</t>
  </si>
  <si>
    <t>B.</t>
  </si>
  <si>
    <t>TRUNG ƯƠNG BỔ SUNG CÓ MỤC TIÊU</t>
  </si>
  <si>
    <t>Chi đầu tư để thực hiện các chương trình mục tiêu, nhiệm vụ</t>
  </si>
  <si>
    <t>Chi thực hiện Chương trình mục tiêu quốc gia</t>
  </si>
  <si>
    <t>C.</t>
  </si>
  <si>
    <t xml:space="preserve">VAY LẠI VỐN VAY NƯỚC NGOÀI CỦA CHÍNH PHỦ </t>
  </si>
  <si>
    <t>Chi trả nợ lãi, gốc các khoản do chính quyền địa phương vay  (2)</t>
  </si>
  <si>
    <t>Kinh phí thực hiện các chính sách an sinh xã hội từ năm 2023 trở về trước và hỗ trợ chi trả chế độ số lượng biên chế giáo viên được bổ sung theo QĐ 72-QĐ/TW</t>
  </si>
  <si>
    <t>Kinh phí khắc phục hậu quả thiên tai, sạt lở</t>
  </si>
  <si>
    <t>Các nhiệm vụ khác</t>
  </si>
  <si>
    <t>Biểu mẫu số 38</t>
  </si>
  <si>
    <t>Tên đơn vị         (1)</t>
  </si>
  <si>
    <t>Chương trình mục tiêu quốc gia …</t>
  </si>
  <si>
    <t>Đầu tư phát triển</t>
  </si>
  <si>
    <t>Kinh phí sự nghiệp</t>
  </si>
  <si>
    <t>Tổng    số</t>
  </si>
  <si>
    <t>Vốn  trong  nước</t>
  </si>
  <si>
    <t>Vốn  ngoài  nước</t>
  </si>
  <si>
    <t>2=5+12</t>
  </si>
  <si>
    <t>3=8+15</t>
  </si>
  <si>
    <t>4=5+8</t>
  </si>
  <si>
    <t>5=6+7</t>
  </si>
  <si>
    <t>8=9+10</t>
  </si>
  <si>
    <t>11=12+15</t>
  </si>
  <si>
    <t>12=13+14</t>
  </si>
  <si>
    <t>15=16+17</t>
  </si>
  <si>
    <r>
      <rPr>
        <i/>
        <sz val="14"/>
        <rFont val="Times New Roman"/>
        <family val="1"/>
      </rPr>
      <t xml:space="preserve"> </t>
    </r>
    <r>
      <rPr>
        <b/>
        <i/>
        <sz val="14"/>
        <rFont val="Times New Roman"/>
        <family val="1"/>
      </rPr>
      <t>Ghi chú</t>
    </r>
    <r>
      <rPr>
        <i/>
        <sz val="14"/>
        <rFont val="Times New Roman"/>
        <family val="1"/>
      </rPr>
      <t>:</t>
    </r>
    <r>
      <rPr>
        <i/>
        <sz val="12"/>
        <rFont val="Times New Roman"/>
        <family val="1"/>
      </rPr>
      <t xml:space="preserve"> (1) Chi Chương trình mục tiêu quốc gia ngân sách tỉnh chi tiết đến từng cơ quan, tổ chức và từng huyện. Chi Chương trình mục tiêu quốc gia ngân sách huyện chi tiết đến từng xã; Chi Chương trình mục tiêu quốc gia ngân sách xã chi tiết đến từng cơ quan, tổ chức.</t>
    </r>
  </si>
  <si>
    <t xml:space="preserve">                   chi bổ sung có mục tiêu từ ngân sách huyện chi tiết đến từng xã.</t>
  </si>
  <si>
    <t xml:space="preserve"> (2) Dự toán năm 2022 Trung ương chưa giao bổ sung kinh phí thực hiện các Chương trình MTQG. Sau khi Trung ương bổ sung cho địa phương Ủy ban nhân dân tỉnh trình Hội đồng nhân dân tỉnh theo quy định</t>
  </si>
  <si>
    <t>DỰ TOÁN CHI CHƯƠNG TRÌNH MỤC TIÊU QUỐC GIA NGÂN SÁCH CẤP TỈNH VÀ NGÂN SÁCH HUYỆN NĂM 2025</t>
  </si>
  <si>
    <t>Biểu mẫu số 42</t>
  </si>
  <si>
    <t>Tên đơn vị
(1)</t>
  </si>
  <si>
    <t>Bổ sung vốn sự nghiệp thực hiện các chế độ, chính sách, nhiệm vụ</t>
  </si>
  <si>
    <t>Ngân sách tỉnh BSMT</t>
  </si>
  <si>
    <t>1 = 2+3+4</t>
  </si>
  <si>
    <t>Biểu mẫu số 43</t>
  </si>
  <si>
    <t xml:space="preserve">Tên đơn vị </t>
  </si>
  <si>
    <t>Phân cấp đầu tư vùng kinh tế động lực</t>
  </si>
  <si>
    <t>Phân cấp hỗ trợ nông thôn mới</t>
  </si>
  <si>
    <t>Phân cấp hỗ trợ đầu tư xây dựng cụm công nghiệp</t>
  </si>
  <si>
    <t>Phân cấp hỗ trợ đầu tư chỉnh trang đô thị</t>
  </si>
  <si>
    <t>Phân cấp hỗ trợ đầu tư các công trình cấp bách</t>
  </si>
  <si>
    <t>Phân cấp đầu tư từ nguồn thu XSKT (lồng ghép thực hiện CT MTQG xây dựng NTM)</t>
  </si>
  <si>
    <t>Nguồn thu tiền sử dụng đất theo dự toán trung ương giao chi thực hiện công tác quy hoạch, đo đạc, đăng ký quản lý đất đai, cấp giấy chứng nhận, xây dựng cơ sở, đăng ký biến động, chỉnh lý hồ sơ địa chính và lập quy hoạch, kế hoạch sử dụng đất (1)</t>
  </si>
  <si>
    <t>7=8+9</t>
  </si>
  <si>
    <t>10=11+12</t>
  </si>
  <si>
    <t>13=14+15</t>
  </si>
  <si>
    <t>16=17+18</t>
  </si>
  <si>
    <t>19=20+21</t>
  </si>
  <si>
    <t>22=23+24</t>
  </si>
  <si>
    <r>
      <rPr>
        <b/>
        <i/>
        <sz val="14"/>
        <rFont val="Arial Narrow"/>
        <family val="2"/>
      </rPr>
      <t xml:space="preserve">Ghi chú: </t>
    </r>
    <r>
      <rPr>
        <i/>
        <sz val="14"/>
        <rFont val="Arial Narrow"/>
        <family val="2"/>
      </rPr>
      <t xml:space="preserve"> (1) Thông báo bổ sung có mục tiêu cho các huyện, thành phố theo tiến độ nguồn thu thực tế phát sinh nộp vào ngân sách </t>
    </r>
  </si>
  <si>
    <t>Biểu mẫu số 44</t>
  </si>
  <si>
    <t xml:space="preserve">Tên đơn vị 
</t>
  </si>
  <si>
    <t>Kinh phí công tác xã hội cho các đồng chí UVBTV Tỉnh uỷ  theo Kết luận số 1434-TB/TU ngày 18/9/2021 của BTV Tỉnh ủy</t>
  </si>
  <si>
    <t>Hỗ trợ kinh phí đối ứng (vốn sự nghiệp) Chương trình mục tiêu quốc gia Nông thôn mới theo Nghị quyết của Hội đồng nhân dân tỉnh</t>
  </si>
  <si>
    <t>Bổ sung kinh phí thực hiện nhiệm vụ đảm bảo trật tự an toàn giao thông</t>
  </si>
  <si>
    <t>25=26+27</t>
  </si>
  <si>
    <t>28=29+30</t>
  </si>
  <si>
    <t>31=32+33</t>
  </si>
  <si>
    <t>34=35+36</t>
  </si>
  <si>
    <t>37=38+39</t>
  </si>
  <si>
    <t>40=41+42</t>
  </si>
  <si>
    <t>DỰ TOÁN BỔ SUNG CÓ MỤC TIÊU VỐN SỰ NGHIỆP TỪ NGÂN SÁCH CẤP TỈNH CHO NGÂN SÁCH TỪNG HUYỆN  
ĐỂ THỰC HIỆN CÁC CHẾ ĐỘ, NHIỆM VỤ VÀ CHÍNH SÁCH THEO QUY ĐỊNH NĂM 2025</t>
  </si>
  <si>
    <t>Kinh phí hỗ trợ hộ nghèo ăn Tết Ất Tỵ năm 2025</t>
  </si>
  <si>
    <t>Hỗ trợ xây dựng thôn nông thôn mới điểm cấp tỉnh tại thôn Làng Mới, xã Mường Hoong, huyện Đăk Glei, tỉnh Kon Tum</t>
  </si>
  <si>
    <t>Kinh phí thực hiện Nghị định số 33/2023/NĐ-CP của Chính phủ</t>
  </si>
  <si>
    <t>Ứng dụng khoa học công nghệ</t>
  </si>
  <si>
    <t>Kinh phí tổ chức tiếp xúc cử tri của đại biểu Hội đồng nhân dân tỉnh và thực hiện chuyên mục "diễn đàn cử tri năm"</t>
  </si>
  <si>
    <t xml:space="preserve">Hỗ trợ kinh phí thực hiện đề án bảo đảm cơ sở vật chất; Đề án nâng cao chất lượng giáo dục đối với học sinh dân tộc thiểu số </t>
  </si>
  <si>
    <t>Hỗ trợ thành phố Kon Tum được công nhận đô thị loại II</t>
  </si>
  <si>
    <t>Kinh phí thực hiện chế độ, chính sách cho lực lượng bảo vệ an ninh trật tự ở cơ sở</t>
  </si>
  <si>
    <t>Kinh phí duy tu dường Hồ Chí Minh từ Km1542+750 - Km1562+250 (đoạn tuyến cũ qua thành phố Kon Tum)</t>
  </si>
  <si>
    <t>43=44+45</t>
  </si>
  <si>
    <t>46=47+48</t>
  </si>
  <si>
    <t>49=50+51</t>
  </si>
  <si>
    <t>DỰ TOÁN BỔ SUNG CÓ MỤC TIÊU VỐN ĐẦU TƯ TỪ NGÂN SÁCH CẤP TỈNH CHO NGÂN SÁCH TỪNG HUYỆN
ĐỂ THỰC HIỆN CÁC CHƯƠNG TRÌNH  MỤC TIÊU NĂM 2025</t>
  </si>
  <si>
    <t>(Kèm theo Tờ trình số         /TTr-UBND ngày       tháng 11 năm 2024 của Ủy ban nhân dân tỉnh Kon Tum)</t>
  </si>
  <si>
    <t>Hỗ trợ phát triển kinh tế tập thể, hợp tác xã</t>
  </si>
  <si>
    <t>Nguồn thu tiền sử dụng đất, tiền thuê đất, xử lý nhà đất, bán tài sản công,... giao tăng thu so với dự toán trung ương giao để chi cho công tác đo đạc, đăng ký đất đai, cấp Giấy chứng nhận, xây dựng cơ sở dữ liệu đất đai và đăng ký biến động, chỉnh lý hồ sơ địa chính thường xuyên theo Chỉ thị số 1474/CT-TTg ngày 24/8/2011 của Thủ tướng Chính phủ (1)</t>
  </si>
  <si>
    <t>DỰ TOÁN BỔ SUNG CÓ MỤC TIÊU TỪ NGÂN SÁCH CẤP TỈNH CHO NGÂN SÁCH TỪNG HUYỆN NĂM 2025</t>
  </si>
  <si>
    <t>Biểu mẫu số 30</t>
  </si>
  <si>
    <t>Tương đối
(%)</t>
  </si>
  <si>
    <t xml:space="preserve">NGÂN SÁCH CẤP TỈNH </t>
  </si>
  <si>
    <t>Bội chi NSĐP/Bội thu NSĐP (1)</t>
  </si>
  <si>
    <t>Nguồn  thu ngân sách</t>
  </si>
  <si>
    <t>Chi thuộc nhiệm vụ của ngân sách cấp huyện</t>
  </si>
  <si>
    <r>
      <rPr>
        <b/>
        <i/>
        <sz val="14"/>
        <rFont val="Times New Roman"/>
        <family val="1"/>
      </rPr>
      <t>Ghi chú</t>
    </r>
    <r>
      <rPr>
        <i/>
        <sz val="12"/>
        <rFont val="Times New Roman"/>
        <family val="1"/>
      </rPr>
      <t>: (1) Theo quy định tại Điều 7, Điều 11 Luật NSNN, ngân sách huyện không có thu từ quỹ dự trữ tài chính, bội chi NSĐP.</t>
    </r>
  </si>
  <si>
    <t xml:space="preserve">        (3) Đối với các chỉ tiêu thu NSĐP, so sánh dự toán năm kế hoạch với ước thực hiện năm hiện hành. </t>
  </si>
  <si>
    <t>CÂN ĐỐI NGUỒN THU, CHI DỰ TOÁN NGÂN SÁCH CẤP TỈNH VÀ NGÂN SÁCH HUYỆN NĂM 2025</t>
  </si>
  <si>
    <t>Chi ngân sách cấp dưới nộp lên ngân sách cấp trên</t>
  </si>
  <si>
    <t>GD</t>
  </si>
  <si>
    <t>khác</t>
  </si>
  <si>
    <t>ĐBXH</t>
  </si>
  <si>
    <t>KT</t>
  </si>
  <si>
    <t>AN</t>
  </si>
  <si>
    <t>B.3</t>
  </si>
  <si>
    <t>Chi bổ sung có mục tiêu ngân sách huyện</t>
  </si>
  <si>
    <t xml:space="preserve">   </t>
  </si>
  <si>
    <t>52=53+54</t>
  </si>
  <si>
    <t>Kinh phí thực hiện Đề án chuyển giao các Trung tâm Y tế huyện, thành phố do Sở Y tế quản lý về cho các huyện, thành phố quản lý</t>
  </si>
  <si>
    <t>Thu chuyển nguồn CCTL của NSĐP đến hết năm 2024 còn dư sang bố trí dự toán chi NSĐP năm 2025 để tạo nguồn CCTL 2,34 trđ</t>
  </si>
  <si>
    <t>CHI NGÂN SÁCH CẤP DƯỚI NỘP LÊN NGÂN SÁCH CẤP TRÊN</t>
  </si>
  <si>
    <t>Biểu mẫu số 29</t>
  </si>
  <si>
    <t xml:space="preserve">ĐÁNH GIÁ THỰC HIỆN THU DỊCH VỤ CỦA ĐƠN VỊ SỰ NGHIỆP CÔNG NĂM 2024
(KHÔNG BAO GỒM NGUỒN NSNN) </t>
  </si>
  <si>
    <t>Kế hoạch năm 2024</t>
  </si>
  <si>
    <t>3=2/1</t>
  </si>
  <si>
    <t xml:space="preserve"> Sự nghiệp giáo dục - đào tạo và dạy nghề</t>
  </si>
  <si>
    <t xml:space="preserve"> Sự nghiệp giáo dục </t>
  </si>
  <si>
    <t xml:space="preserve"> Sự nghiệp đào tạo, bồi dưỡng và dạy nghề</t>
  </si>
  <si>
    <t>Trường Cao đẳng Cộng đồng</t>
  </si>
  <si>
    <t xml:space="preserve"> Trường Chính trị</t>
  </si>
  <si>
    <t xml:space="preserve"> Sự nghiệp khoa học và công nghệ</t>
  </si>
  <si>
    <t xml:space="preserve"> Sự nghiệp y tế</t>
  </si>
  <si>
    <t xml:space="preserve"> Sự nghiệp văn hóa thông tin</t>
  </si>
  <si>
    <t>Sở Văn hóa TTDL</t>
  </si>
  <si>
    <t>Tỉnh đoàn (Trung tâm Văn hóa thể thao TTN)</t>
  </si>
  <si>
    <t xml:space="preserve"> Sự nghiệp phát thanh truyền hình</t>
  </si>
  <si>
    <t xml:space="preserve"> Sự nghiệp thể dục thể thao</t>
  </si>
  <si>
    <t>Sự nghiệp kinh tế</t>
  </si>
  <si>
    <t>Ban Quản lý Khu kinh tế</t>
  </si>
  <si>
    <t>Trung tâm dịch vụ Hành chính-Hội nghị</t>
  </si>
  <si>
    <t xml:space="preserve"> Ban quản lý Khu BTTN Ngọc Linh</t>
  </si>
  <si>
    <t xml:space="preserve">Ban quản lý rừng phòng hộ Đăk Glei </t>
  </si>
  <si>
    <t>Ban quản lý rừng phòng hộ Kon Rẫy</t>
  </si>
  <si>
    <t>Ban quản lý rừng đặc dụng Đăk Uy</t>
  </si>
  <si>
    <t>Ban quản lý phòng hộ Tu Mơ Rông</t>
  </si>
  <si>
    <t xml:space="preserve"> Ban quản lý rừng phòng hộ Thạch Nham</t>
  </si>
  <si>
    <t>Ban quản lý rừng phòng hộ Đăk Hà</t>
  </si>
  <si>
    <t>BQL VQG Chư Mom Ray</t>
  </si>
  <si>
    <t>Văn phòng Đăng ký đất đai tỉnh</t>
  </si>
  <si>
    <t>Sự nghiệp bảo đảm xã hội</t>
  </si>
  <si>
    <t>Phòng Công chức số 1</t>
  </si>
  <si>
    <t>Phòng Công chức số 2</t>
  </si>
  <si>
    <t>Văn phòng Sở Tư pháp</t>
  </si>
  <si>
    <t>Sự nghiệp bảo vệ môi trường</t>
  </si>
  <si>
    <t>Trung tâm Quan trắc Tài nguyên và Môi trường</t>
  </si>
  <si>
    <t>Biểu mẫu số 47</t>
  </si>
  <si>
    <t>KẾ HOẠCH THU DỊCH VỤ CỦA ĐƠN VỊ SỰ NGHIỆP CÔNG NĂM 2025</t>
  </si>
  <si>
    <t xml:space="preserve">(KHÔNG BAO GỒM NGUỒN NSNN) </t>
  </si>
  <si>
    <t>Kế hoạch năm 2025</t>
  </si>
  <si>
    <t>Chi trả nợ gốc, lãi các khoản do chính quyền địa phương vay (1)</t>
  </si>
  <si>
    <t>Trung ương BSMT cuối năm 2023</t>
  </si>
  <si>
    <t>DỰ TOÁN CHI NGÂN SÁCH CẤP TỈNH CHO TỪNG CƠ QUAN, TỔ CHỨC THEO LĨNH VỰC NĂM 2025</t>
  </si>
  <si>
    <t xml:space="preserve">             - Ghi chi các khoản viện trợ thuộc nguồn thu ngân sách địa phương</t>
  </si>
  <si>
    <t>Chi nguồn giao tăng thu các dự án khai thác quỹ đất, xử lý nhà đất, bán tài sản công,... so dự toán Trung ương giao (Bao gồm Ghi chi tiền thuê đất, tiền sử dụng đất tương ứng số tiền đền bù GPMB của các DA đầu tư mà nhà đầu tư đã tự nguyện ứng trước và thu các DA khác; Ghi chi các khoản viện trợ thuộc nguồn thu ngân sách địa phương, nhiệm vụ theo tiến độ nguồn thu thực tế)</t>
  </si>
  <si>
    <t>Biểu mẫu số 28</t>
  </si>
  <si>
    <t>TÌNH HÌNH THỰC HIỆN KẾ HOẠCH TÀI CHÍNH CÁC QUỸ TÀI CHÍNH NHÀ NƯỚC NGOÀI NGÂN SÁCH DO ĐỊA PHƯƠNG QUẢN LÝ NĂM 2024</t>
  </si>
  <si>
    <t>Tên quỹ</t>
  </si>
  <si>
    <t>Số dư nguồn đến ngày 31/12/2023</t>
  </si>
  <si>
    <t>Số dư nguồn đến 31/12/2024</t>
  </si>
  <si>
    <t>Tổng nguồn vốn phát sinh trong năm</t>
  </si>
  <si>
    <t>Tổng sử dụng nguồn vốn trong năm</t>
  </si>
  <si>
    <t>Chênh lệch nguồn trong năm</t>
  </si>
  <si>
    <r>
      <t xml:space="preserve">Trong đó: Hỗ trợ từ NSĐP </t>
    </r>
    <r>
      <rPr>
        <sz val="14"/>
        <rFont val="Times New Roman"/>
        <family val="1"/>
      </rPr>
      <t>(nếu có)</t>
    </r>
  </si>
  <si>
    <t>5=1+2-4</t>
  </si>
  <si>
    <t>9=6-8</t>
  </si>
  <si>
    <t>10=1+6-8</t>
  </si>
  <si>
    <t>TỔNG CỘNG</t>
  </si>
  <si>
    <t>Quỹ đầu tư phát triển</t>
  </si>
  <si>
    <t>Quỹ phát triển đất</t>
  </si>
  <si>
    <t>Quỹ bảo vệ phát triển rừng</t>
  </si>
  <si>
    <t>Quỹ vì người nghèo</t>
  </si>
  <si>
    <t>Quỹ cứu trợ</t>
  </si>
  <si>
    <t>Quỹ hỗ trợ nạn nhân chất độc da cam/đioxin</t>
  </si>
  <si>
    <t>Quỹ vì người khuyết tật và trẻ em mồ côi</t>
  </si>
  <si>
    <t>Quỹ khám chữa bệnh người nghèo</t>
  </si>
  <si>
    <t>Quỹ khuyến học</t>
  </si>
  <si>
    <t>Quỹ phòng chống thiên tai</t>
  </si>
  <si>
    <t>Quỹ đền ơn đáp nghĩa</t>
  </si>
  <si>
    <t>Quỹ bảo trợ trẻ em</t>
  </si>
  <si>
    <t>Quỹ phòng chống tội phạm</t>
  </si>
  <si>
    <t>Quỹ An ninh trật tự</t>
  </si>
  <si>
    <t>Quỹ hỗ trợ nông dân</t>
  </si>
  <si>
    <t>Quỹ hỗ trợ phát triển hợp tác xã</t>
  </si>
  <si>
    <t>Quỹ phát triển khoa học công nghệ</t>
  </si>
  <si>
    <t>Ghi chú: (1) Đối với quỹ có vốn điều lệ thì thể hiện vốn điều lệ, đối với quỹ không có vốn đề lệ thì thể hiện số dư quỹ.</t>
  </si>
  <si>
    <t>Biểu mẫu số 45</t>
  </si>
  <si>
    <t>KẾ HOẠCH TÀI CHÍNH CỦA CÁC QUỸ TÀI CHÍNH NHÀ NƯỚC 
NGOÀI NGÂN SÁCH DO ĐỊA PHƯƠNG QUẢN LÝ NĂM 2025</t>
  </si>
  <si>
    <t>Tên Quỹ</t>
  </si>
  <si>
    <t>Dư nguồn đến ngày 31/12/2023</t>
  </si>
  <si>
    <t>Số dư nguồn đến ngày 31/12/2024</t>
  </si>
  <si>
    <t>Dự kiến dư nguồn đến ngày 31/12/2025</t>
  </si>
  <si>
    <t>5=2-4</t>
  </si>
  <si>
    <t>6=1+2-4</t>
  </si>
  <si>
    <t>10=7-9</t>
  </si>
  <si>
    <t>11=6+7-9</t>
  </si>
  <si>
    <t>293-02/4/2019;
726-15/7/2019</t>
  </si>
  <si>
    <t>Chi quản lý đất đai</t>
  </si>
  <si>
    <t>Hỗ trợ có mục tiêu để thực hiện cho các huyện, th.phố</t>
  </si>
  <si>
    <t>Chi quản lý đất đai tại tỉnh</t>
  </si>
  <si>
    <t>NGUỒN THU TIỀN SỬ DỤNG ĐẤT, THUÊ ĐẤT, TIỀN BÁN TÀI SẢN TỪ DỰ ÁN KHAI THÁC QUỸ ĐẤT TỈNH GIAO TĂNG THÊM (PHÂN BỔ THEO TIẾN ĐỘ NGUỒN THU THỰC TẾ PHÁT SINH)</t>
  </si>
  <si>
    <t>Phân cấp ngân sách các huyện, thành phố được hưởng  (dự toán giao tăng thêm - chi theo tiến độ nguồn thu)</t>
  </si>
  <si>
    <t>III.2</t>
  </si>
  <si>
    <t>III.3</t>
  </si>
  <si>
    <t>III.4</t>
  </si>
  <si>
    <t>Bổ sung Quỹ phát triển đất</t>
  </si>
  <si>
    <t>III.5</t>
  </si>
  <si>
    <t>Tiểu dự án bồi thường, hỗ trợ giải phóng mặt bằng xây dựng Doanh trại các đơn vị thuộc Sư đoàn 10 tại xã Hòa Bình, thành phố Kon Tum</t>
  </si>
  <si>
    <t>747-05/11/2021; 836-22/12/2022</t>
  </si>
  <si>
    <t>Dự án đầu tư chỉnh trang đô thị, tạo quỹ đất để thực hiện quy hoạch Tổ hợp khách sạn, trung tâm thương mại, dịch vụ tại phường Thống Nhất, thành phố Kon Tum, tỉnh Kon Tum</t>
  </si>
  <si>
    <t>205-27/02/2019;
147-08/3/2021</t>
  </si>
  <si>
    <t>Dự án đầu tư chỉnh trang đô thị, tạo quỹ đất để thực hiện quy hoạch Khu du lịch - đô thị sinh thái nghỉ dưỡng kết hợp thể thao tại xã Đăk Rơ Wa, thành phố Kon Tum, tỉnh Kon Tum</t>
  </si>
  <si>
    <t>206-27/02/2019;
239-30/3/2021</t>
  </si>
  <si>
    <t>Đường bao khu dân cư phía Nam thành phố Kon Tum (đoạn từ Đường Hồ Chí Minh đến cầu treo Kon Klor)</t>
  </si>
  <si>
    <t>868-30/10/2013;
1057-30/10/2015;
670-24/10/2022</t>
  </si>
  <si>
    <t>Dự án đường trục chính phía Tây thành phố Kon Tum</t>
  </si>
  <si>
    <t>1020-18/10/2020; 
338-08/6/2022</t>
  </si>
  <si>
    <t>Khai thác quỹ đất phát triển kết cấu hạ tầng tại Trung tâm thể dục thể thao</t>
  </si>
  <si>
    <t>510-22/5/2019;
1172-23/10/2019</t>
  </si>
  <si>
    <t xml:space="preserve">Khai thác quỹ đất để phát triển kết cấu hạ tầng Khu du lịch Ngục Kon Tum </t>
  </si>
  <si>
    <t>1451-29/12/2017;
889-22/8/2018</t>
  </si>
  <si>
    <t>Đầu tư hạ tầng Khu du lịch văn hóa, lịch sử Ngục Kon Tum</t>
  </si>
  <si>
    <t>1452a-30/11/2016;
1153-31/10/2017;
277-16/5/2022</t>
  </si>
  <si>
    <t>Khai thác quỹ đất phát triển kết cấu hạ tầng Đường bao khu dân cư phía Bắc thành phố Kon Tum (đoạn từ đường Trần Phú đến cầu treo Kon Klor)</t>
  </si>
  <si>
    <t>1058-30/10/2015</t>
  </si>
  <si>
    <t>Khai thác quỹ đất phát triển kết cấu hạ tầng Đường bao khu dân cư phía Nam thành phố Kon Tum (đoạn từ đường Hồ Chí Minh đến cầu treo Kon Klor)</t>
  </si>
  <si>
    <t>1057-30/10/2015</t>
  </si>
  <si>
    <t>Văn phòng UBND tỉnh</t>
  </si>
  <si>
    <t>Trụ sở làm việc của Ủy ban nhân dân tỉnh, các sở, ban ngành và các hạng mục phụ trợ</t>
  </si>
  <si>
    <t>NQ 41-29/4/2021;
256-11/5/2022</t>
  </si>
  <si>
    <t>NQ 52-29/4/2021;
1066-15/11/2021; NQ 44-11/7/2024</t>
  </si>
  <si>
    <t>Cải tạo, nâng cấp cơ sở vật chất và bổ sung trang thiết bị Trường Cao đẳng Cộng đồng Kon Tum</t>
  </si>
  <si>
    <t>NQ 34-09/7/2021;
NQ 36-12/7/2022;
656-18/10/2022</t>
  </si>
  <si>
    <t>Trung tâm Phát triển quỹ đất tỉnh</t>
  </si>
  <si>
    <t>1230-09/12/2020;
290-14/4/2021</t>
  </si>
  <si>
    <t>BQL Khu kinh tế tỉnh</t>
  </si>
  <si>
    <t>Chỉnh trang đô thị, tạo quỹ đất để thực hiện quy hoạch Khu công nghiệp Sao Mai</t>
  </si>
  <si>
    <t>939-03/9/2019;
1125-16/10/2019</t>
  </si>
  <si>
    <t>Nâng cấp, mở rộng đường ĐH51 (đường liên xã Kon Đào - Văn Lem)</t>
  </si>
  <si>
    <t>NQ 53-29/4/2021;
36-27/01/2023</t>
  </si>
  <si>
    <t xml:space="preserve"> Trụ sở làm việc Công an tỉnh Kon Tum</t>
  </si>
  <si>
    <t>102/QĐ-BCA-H01 - 04/01/2024</t>
  </si>
  <si>
    <t>Phân cấp ngân sách huyện</t>
  </si>
  <si>
    <r>
      <t>Chỉnh trang đô thị, di dời Bến xe Kon Tum về phía Bắc Thành phố Kon Tum theo quy hoạch (</t>
    </r>
    <r>
      <rPr>
        <i/>
        <sz val="10"/>
        <rFont val="Arial Narrow"/>
        <family val="2"/>
      </rPr>
      <t>cập nhật di dời Cửa hàng xăng dầu</t>
    </r>
    <r>
      <rPr>
        <sz val="10"/>
        <rFont val="Arial Narrow"/>
        <family val="2"/>
      </rPr>
      <t>)</t>
    </r>
  </si>
  <si>
    <t>Chi nguồn giao tăng thu các dự án khai thác quỹ đất, xử lý nhà đất, bán tài sản công,... so dự toán Trung ương giao (Bao gồm Ghi chi tiền thuê đất, tiền sử dụng đất tương ứng số tiền đền bù GPMB của các DA đầu tư mà nhà đầu tư đã tự nguyện ứng trước; Ghi chi các khoản viện trợ thuộc nguồn thu ngân sách địa phương, nhiệm vụ theo tiến độ nguồn thu thực tế)</t>
  </si>
  <si>
    <t xml:space="preserve">              (4) Vốn đối ứng ngân sách địa phương (vốn sự nghiệp) thực hiện các Chương trình mục tiêu quốc gia năm 2025: 83.751 triệu đồng , trong đó, vốn đối ứng thực hiện các Chương trình mục tiêu quốc gia của các cơ quan, đơn vị khối tỉnh được lồng ghép, sắp xếp trong dự toán chi thường xuyên giao (lồng ghép với kinh phí thực hiện các Chương trình, Dự án, đề án, các nhiệm vụ chi có nội dung tương đồng với các nội dung chi của các Chương trình mục tiêu quốc gia), ngân sách huyện, thành phố chủ động cân đối bố trí vốn đối ứng, lồng ghép thực hiện các Chương trình mục tiêu quốc gia theo quy định và theo phân cấp ngân sách hiện hành. Sau khi Hội đồng nhân dân tỉnh thông qua dự toán ngân sách địa phương năm 2025, giao Ủy ban nhân dân tỉnh triển khai cụ thể theo quy định.</t>
  </si>
  <si>
    <t>(Kèm theo Nghị quyết số        /NQ-HĐND ngày       tháng    năm 2024 của Hội đồng nhân dân tỉnh Kon Tum)</t>
  </si>
  <si>
    <t>Ghi chú:</t>
  </si>
  <si>
    <t>(**) Ủy ban nhân dân tỉnh triển khai thực hiện theo đúng quy định Luật Ngân sách nhà nước và các văn bản hướng dẫn của Trung ương.</t>
  </si>
  <si>
    <t>(*) Triển khai thực hiện sau khi đảm bảo đầy đủ hồ sơ, thủ tục và được cấp có thẩm quyền phê duyệt nhiệm vụ và dự toán theo quy định</t>
  </si>
  <si>
    <t xml:space="preserve">Chi mua sắm, sửa chữa lớn xe ô tô, nhà làm việc (*) </t>
  </si>
  <si>
    <t>Các khoản chi khác (**)</t>
  </si>
  <si>
    <t>Chi mua sắm, sửa chữa lớn xe ô tô, nhà làm việc (*)</t>
  </si>
  <si>
    <t>Cấp bổ sung vốn điều lệ cho quỹ đầu tư phát triển tỉnh</t>
  </si>
  <si>
    <t>III.6</t>
  </si>
  <si>
    <t>(***) Vốn đối ứng ngân sách địa phương (vốn sự nghiệp) thực hiện các Chương trình mục tiêu quốc gia năm 2025: 28.579 triệu đồng , trong đó, vốn đối ứng thực hiện các Chương trình mục tiêu quốc gia của các cơ quan, đơn vị khối tỉnh được lồng ghép, sắp xếp trong dự toán chi thường xuyên giao (lồng ghép với kinh phí thực hiện các Chương trình, Dự án, đề án, các nhiệm vụ chi có nội dung tương đồng với các nội dung chi của các Chương trình mục tiêu quốc gia), ngân sách huyện, thành phố chủ động cân đối bố trí vốn đối ứng, lồng ghép thực hiện các Chương trình mục tiêu quốc gia theo quy định và theo phân cấp ngân sách hiện hành. Sau khi Hội đồng nhân dân tỉnh thông qua dự toán ngân sách địa phương năm 2025, giao Ủy ban nhân dân tỉnh triển khai cụ thể theo quy định.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</si>
</sst>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_(* \(#,##0\);_(* &quot;-&quot;_);_(@_)"/>
    <numFmt numFmtId="43" formatCode="_(* #,##0.00_);_(* \(#,##0.00\);_(* &quot;-&quot;??_);_(@_)"/>
    <numFmt numFmtId="164" formatCode="_-* #,##0.00_-;\-* #,##0.00_-;_-* &quot;-&quot;??_-;_-@_-"/>
    <numFmt numFmtId="165" formatCode="0.0%"/>
    <numFmt numFmtId="166" formatCode="_(* #,##0.00_);_(* \(#,##0.00\);_(* &quot;-&quot;_);_(@_)"/>
    <numFmt numFmtId="167" formatCode="###,###"/>
    <numFmt numFmtId="168" formatCode="_(* #,##0_);_(* \(#,##0\);_(* &quot;-&quot;??_);_(@_)"/>
    <numFmt numFmtId="169" formatCode="_(* #,##0.00_);_(* \(#,##0.00\);_(* \-??_);_(@_)"/>
    <numFmt numFmtId="170" formatCode="_(* #,##0_);_(* \(#,##0\);_(* \-??_);_(@_)"/>
    <numFmt numFmtId="171" formatCode="#,##0.0"/>
    <numFmt numFmtId="172" formatCode="#,##0_ ;\-#,##0\ "/>
    <numFmt numFmtId="173" formatCode="_(* #,##0.0_);_(* \(#,##0.0\);_(* &quot;-&quot;??_);_(@_)"/>
    <numFmt numFmtId="174" formatCode="_(* #,##0.0_);_(* \(#,##0.0\);_(* &quot;-&quot;?_);_(@_)"/>
    <numFmt numFmtId="175" formatCode="###,###,###"/>
    <numFmt numFmtId="176" formatCode="_-* #,##0_-;\-* #,##0_-;_-* &quot;-&quot;??_-;_-@_-"/>
    <numFmt numFmtId="177" formatCode="_-* #,##0.0_-;\-* #,##0.0_-;_-* &quot;-&quot;??_-;_-@_-"/>
    <numFmt numFmtId="178" formatCode="_(* #,##0.000_);_(* \(#,##0.000\);_(* &quot;-&quot;??_);_(@_)"/>
  </numFmts>
  <fonts count="89">
    <font>
      <sz val="10"/>
      <name val="Arial"/>
      <family val="2"/>
    </font>
    <font>
      <sz val="11"/>
      <color theme="1"/>
      <name val="Arial"/>
      <family val="2"/>
      <scheme val="minor"/>
    </font>
    <font>
      <sz val="11"/>
      <color theme="1"/>
      <name val="Arial"/>
      <family val="2"/>
      <scheme val="minor"/>
    </font>
    <font>
      <sz val="11"/>
      <color theme="1"/>
      <name val="Arial"/>
      <family val="2"/>
      <scheme val="minor"/>
    </font>
    <font>
      <sz val="12"/>
      <name val=".VnTime"/>
      <family val="2"/>
    </font>
    <font>
      <b/>
      <sz val="12"/>
      <name val="Times New Roman"/>
      <family val="1"/>
    </font>
    <font>
      <sz val="12"/>
      <name val="Times New Roman"/>
      <family val="1"/>
    </font>
    <font>
      <b/>
      <sz val="14"/>
      <name val="Times New Roman"/>
      <family val="1"/>
    </font>
    <font>
      <i/>
      <sz val="14"/>
      <name val="Times New Roman"/>
      <family val="1"/>
    </font>
    <font>
      <sz val="14"/>
      <name val="Times New Roman"/>
      <family val="1"/>
    </font>
    <font>
      <sz val="13"/>
      <name val="Times New Roman"/>
      <family val="1"/>
    </font>
    <font>
      <b/>
      <sz val="11"/>
      <name val="Times New Roman"/>
      <family val="1"/>
    </font>
    <font>
      <i/>
      <sz val="12"/>
      <name val="Times New Roman"/>
      <family val="1"/>
    </font>
    <font>
      <b/>
      <i/>
      <sz val="14"/>
      <name val="Times New Roman"/>
      <family val="1"/>
    </font>
    <font>
      <sz val="13"/>
      <name val="VnTime"/>
    </font>
    <font>
      <sz val="11"/>
      <name val="Times New Roman"/>
      <family val="1"/>
    </font>
    <font>
      <b/>
      <sz val="13"/>
      <name val="Times New Roman"/>
      <family val="1"/>
    </font>
    <font>
      <sz val="10"/>
      <color theme="1"/>
      <name val="Arial Narrow"/>
      <family val="2"/>
    </font>
    <font>
      <sz val="10"/>
      <name val="Arial"/>
      <family val="2"/>
    </font>
    <font>
      <b/>
      <sz val="14"/>
      <name val="Times New Roman"/>
      <family val="1"/>
      <charset val="163"/>
    </font>
    <font>
      <sz val="14"/>
      <name val="Times New Roman"/>
      <family val="1"/>
      <charset val="163"/>
    </font>
    <font>
      <b/>
      <sz val="12"/>
      <name val="Times New Roman"/>
      <family val="1"/>
      <charset val="163"/>
    </font>
    <font>
      <sz val="12"/>
      <name val="Times New Roman"/>
      <family val="1"/>
      <charset val="163"/>
    </font>
    <font>
      <i/>
      <sz val="14"/>
      <name val="Times New Roman"/>
      <family val="1"/>
      <charset val="163"/>
    </font>
    <font>
      <sz val="13"/>
      <name val="Times New Roman"/>
      <family val="1"/>
      <charset val="163"/>
    </font>
    <font>
      <b/>
      <sz val="11"/>
      <name val="Times New Roman"/>
      <family val="1"/>
      <charset val="163"/>
    </font>
    <font>
      <b/>
      <sz val="14"/>
      <name val="Times New Roman h"/>
      <charset val="163"/>
    </font>
    <font>
      <i/>
      <sz val="10"/>
      <name val="Times New Roman"/>
      <family val="1"/>
    </font>
    <font>
      <i/>
      <sz val="12"/>
      <name val="Times New Roman"/>
      <family val="1"/>
      <charset val="163"/>
    </font>
    <font>
      <sz val="12"/>
      <name val=".VnTime"/>
      <family val="2"/>
    </font>
    <font>
      <u/>
      <sz val="9.6"/>
      <color indexed="12"/>
      <name val=".VnTime"/>
      <family val="2"/>
    </font>
    <font>
      <b/>
      <i/>
      <sz val="12"/>
      <name val="Times New Roman"/>
      <family val="1"/>
    </font>
    <font>
      <b/>
      <sz val="14"/>
      <color rgb="FFFF0000"/>
      <name val="Times New Roman"/>
      <family val="1"/>
    </font>
    <font>
      <b/>
      <sz val="16"/>
      <color rgb="FFFF0000"/>
      <name val="Times New Roman"/>
      <family val="1"/>
    </font>
    <font>
      <sz val="12"/>
      <color theme="1"/>
      <name val="Times New Roman"/>
      <family val="2"/>
    </font>
    <font>
      <sz val="14"/>
      <color rgb="FFFF0000"/>
      <name val="Times New Roman"/>
      <family val="1"/>
    </font>
    <font>
      <i/>
      <sz val="13"/>
      <name val="Times New Roman"/>
      <family val="1"/>
    </font>
    <font>
      <b/>
      <i/>
      <sz val="13"/>
      <name val="Times New Roman"/>
      <family val="1"/>
    </font>
    <font>
      <b/>
      <sz val="10"/>
      <name val="Times New Roman"/>
      <family val="1"/>
    </font>
    <font>
      <b/>
      <sz val="14"/>
      <name val="Times New Romanh"/>
      <charset val="163"/>
    </font>
    <font>
      <sz val="12"/>
      <name val=".VnTime"/>
      <family val="2"/>
    </font>
    <font>
      <sz val="12"/>
      <name val=".VnArial Narrow"/>
      <family val="2"/>
    </font>
    <font>
      <b/>
      <u/>
      <sz val="14"/>
      <name val="Times New Roman"/>
      <family val="1"/>
    </font>
    <font>
      <b/>
      <sz val="8"/>
      <name val="Times New Roman"/>
      <family val="1"/>
    </font>
    <font>
      <i/>
      <sz val="14"/>
      <color rgb="FFFF0000"/>
      <name val="Times New Roman"/>
      <family val="1"/>
    </font>
    <font>
      <b/>
      <sz val="14"/>
      <name val="Times New Roman h"/>
    </font>
    <font>
      <b/>
      <sz val="14"/>
      <name val="Arial"/>
      <family val="2"/>
      <charset val="163"/>
    </font>
    <font>
      <sz val="13"/>
      <name val=".VnTime"/>
      <family val="2"/>
    </font>
    <font>
      <sz val="13"/>
      <name val=".VnTime"/>
      <family val="2"/>
      <charset val="163"/>
    </font>
    <font>
      <b/>
      <sz val="13"/>
      <name val="Times New Roman"/>
      <family val="1"/>
      <charset val="163"/>
    </font>
    <font>
      <i/>
      <sz val="13"/>
      <name val="Times New Roman"/>
      <family val="1"/>
      <charset val="163"/>
    </font>
    <font>
      <i/>
      <sz val="13"/>
      <name val=".VnTime"/>
      <family val="2"/>
      <charset val="163"/>
    </font>
    <font>
      <sz val="13"/>
      <name val="Arial"/>
      <family val="2"/>
      <scheme val="minor"/>
    </font>
    <font>
      <sz val="8"/>
      <name val="Arial"/>
      <family val="2"/>
    </font>
    <font>
      <sz val="12"/>
      <color theme="1"/>
      <name val="Times New Roman"/>
      <family val="1"/>
    </font>
    <font>
      <b/>
      <sz val="12"/>
      <color theme="1"/>
      <name val="Times New Roman"/>
      <family val="1"/>
    </font>
    <font>
      <sz val="10"/>
      <name val="Times New Roman"/>
      <family val="1"/>
    </font>
    <font>
      <sz val="12"/>
      <name val="Arial Narrow"/>
      <family val="2"/>
    </font>
    <font>
      <b/>
      <sz val="10"/>
      <color theme="1"/>
      <name val="Times New Roman"/>
      <family val="1"/>
    </font>
    <font>
      <sz val="14"/>
      <name val=".VnTime"/>
      <family val="2"/>
    </font>
    <font>
      <i/>
      <sz val="14"/>
      <name val="Arial Narrow"/>
      <family val="2"/>
    </font>
    <font>
      <b/>
      <i/>
      <sz val="14"/>
      <name val="Arial Narrow"/>
      <family val="2"/>
    </font>
    <font>
      <b/>
      <u/>
      <sz val="14"/>
      <name val="Times New Roman"/>
      <family val="1"/>
      <charset val="163"/>
    </font>
    <font>
      <b/>
      <sz val="13"/>
      <color rgb="FFFF0000"/>
      <name val="Times New Roman"/>
      <family val="1"/>
    </font>
    <font>
      <sz val="8"/>
      <name val="Times New Roman"/>
      <family val="1"/>
    </font>
    <font>
      <sz val="14"/>
      <color theme="1"/>
      <name val="Times New Roman"/>
      <family val="1"/>
    </font>
    <font>
      <b/>
      <sz val="14"/>
      <name val="Times New Romanh"/>
    </font>
    <font>
      <b/>
      <sz val="16"/>
      <name val="Times New Roman"/>
      <family val="1"/>
    </font>
    <font>
      <sz val="12"/>
      <name val=".VnTime"/>
      <family val="2"/>
    </font>
    <font>
      <sz val="10"/>
      <name val="Arial Narrow"/>
      <family val="2"/>
    </font>
    <font>
      <sz val="11"/>
      <color theme="1"/>
      <name val="Arial"/>
      <family val="2"/>
      <charset val="163"/>
      <scheme val="minor"/>
    </font>
    <font>
      <b/>
      <sz val="14"/>
      <color theme="1"/>
      <name val="Times New Roman"/>
      <family val="1"/>
    </font>
    <font>
      <b/>
      <sz val="14"/>
      <color theme="1"/>
      <name val="Times New Roman"/>
      <family val="1"/>
      <charset val="163"/>
    </font>
    <font>
      <sz val="14"/>
      <color theme="1"/>
      <name val="Times New Roman"/>
      <family val="1"/>
      <charset val="163"/>
    </font>
    <font>
      <b/>
      <sz val="11"/>
      <color theme="1"/>
      <name val="Times New Roman"/>
      <family val="1"/>
    </font>
    <font>
      <b/>
      <sz val="8"/>
      <color theme="1"/>
      <name val="Times New Roman"/>
      <family val="1"/>
    </font>
    <font>
      <i/>
      <sz val="12"/>
      <color theme="1"/>
      <name val="Times New Roman"/>
      <family val="1"/>
    </font>
    <font>
      <b/>
      <sz val="10"/>
      <name val="Arial Narrow"/>
      <family val="2"/>
      <charset val="163"/>
    </font>
    <font>
      <sz val="10"/>
      <name val="Times New Roman"/>
      <family val="1"/>
      <charset val="163"/>
    </font>
    <font>
      <b/>
      <sz val="10"/>
      <name val="Times New Roman"/>
      <family val="1"/>
      <charset val="163"/>
    </font>
    <font>
      <i/>
      <sz val="10"/>
      <name val="Arial Narrow"/>
      <family val="2"/>
    </font>
    <font>
      <b/>
      <strike/>
      <sz val="10"/>
      <name val="Times New Roman"/>
      <family val="1"/>
    </font>
    <font>
      <i/>
      <sz val="14"/>
      <color rgb="FF0000FF"/>
      <name val="Times New Roman"/>
      <family val="1"/>
      <charset val="163"/>
    </font>
    <font>
      <i/>
      <sz val="14"/>
      <color rgb="FF0000FF"/>
      <name val="Times New Roman"/>
      <family val="1"/>
    </font>
    <font>
      <sz val="13"/>
      <color rgb="FF0000FF"/>
      <name val="Times New Roman"/>
      <family val="1"/>
    </font>
    <font>
      <sz val="10"/>
      <color rgb="FF0000FF"/>
      <name val="Times New Roman"/>
      <family val="1"/>
    </font>
    <font>
      <b/>
      <sz val="10"/>
      <color rgb="FF0000FF"/>
      <name val="Times New Roman"/>
      <family val="1"/>
    </font>
    <font>
      <b/>
      <sz val="14"/>
      <color rgb="FFFF0000"/>
      <name val="Times New Roman"/>
      <family val="1"/>
      <charset val="163"/>
    </font>
    <font>
      <sz val="14"/>
      <color rgb="FFFF0000"/>
      <name val="Times New Roman"/>
      <family val="1"/>
      <charset val="163"/>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auto="1"/>
      </right>
      <top/>
      <bottom style="hair">
        <color auto="1"/>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indexed="64"/>
      </left>
      <right style="thin">
        <color rgb="FF000000"/>
      </right>
      <top style="hair">
        <color rgb="FF000000"/>
      </top>
      <bottom style="hair">
        <color indexed="64"/>
      </bottom>
      <diagonal/>
    </border>
    <border>
      <left style="thin">
        <color rgb="FF000000"/>
      </left>
      <right style="thin">
        <color indexed="64"/>
      </right>
      <top style="hair">
        <color rgb="FF000000"/>
      </top>
      <bottom style="hair">
        <color indexed="64"/>
      </bottom>
      <diagonal/>
    </border>
    <border>
      <left/>
      <right style="thin">
        <color indexed="64"/>
      </right>
      <top/>
      <bottom/>
      <diagonal/>
    </border>
    <border>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hair">
        <color rgb="FF000000"/>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45">
    <xf numFmtId="0" fontId="0" fillId="0" borderId="0"/>
    <xf numFmtId="0" fontId="4" fillId="0" borderId="0"/>
    <xf numFmtId="0" fontId="4" fillId="0" borderId="0"/>
    <xf numFmtId="0" fontId="14" fillId="0" borderId="0"/>
    <xf numFmtId="0" fontId="4" fillId="0" borderId="0"/>
    <xf numFmtId="43" fontId="4" fillId="0" borderId="0" applyFont="0" applyFill="0" applyBorder="0" applyAlignment="0" applyProtection="0"/>
    <xf numFmtId="0" fontId="17" fillId="0" borderId="0"/>
    <xf numFmtId="43" fontId="3" fillId="0" borderId="0" applyFont="0" applyFill="0" applyBorder="0" applyAlignment="0" applyProtection="0"/>
    <xf numFmtId="0" fontId="18" fillId="0" borderId="0"/>
    <xf numFmtId="169" fontId="18" fillId="0" borderId="0" applyFill="0" applyBorder="0" applyAlignment="0" applyProtection="0"/>
    <xf numFmtId="169" fontId="18" fillId="0" borderId="0" applyFill="0" applyBorder="0" applyAlignment="0" applyProtection="0"/>
    <xf numFmtId="0" fontId="4" fillId="0" borderId="0"/>
    <xf numFmtId="0" fontId="29" fillId="0" borderId="0"/>
    <xf numFmtId="0" fontId="30" fillId="0" borderId="0" applyNumberFormat="0" applyFill="0" applyBorder="0" applyAlignment="0" applyProtection="0">
      <alignment vertical="top"/>
      <protection locked="0"/>
    </xf>
    <xf numFmtId="9" fontId="4" fillId="0" borderId="0" applyFont="0" applyFill="0" applyBorder="0" applyAlignment="0" applyProtection="0"/>
    <xf numFmtId="0" fontId="34" fillId="0" borderId="0"/>
    <xf numFmtId="0" fontId="40" fillId="0" borderId="0"/>
    <xf numFmtId="0" fontId="41" fillId="0" borderId="0"/>
    <xf numFmtId="0" fontId="4" fillId="0" borderId="0"/>
    <xf numFmtId="43"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0" fontId="17" fillId="0" borderId="0"/>
    <xf numFmtId="0" fontId="18" fillId="0" borderId="0"/>
    <xf numFmtId="0" fontId="2" fillId="0" borderId="0"/>
    <xf numFmtId="0" fontId="2" fillId="0" borderId="0"/>
    <xf numFmtId="0" fontId="18" fillId="0" borderId="0"/>
    <xf numFmtId="0" fontId="57" fillId="0" borderId="0"/>
    <xf numFmtId="0" fontId="2" fillId="0" borderId="0"/>
    <xf numFmtId="0" fontId="18" fillId="0" borderId="0"/>
    <xf numFmtId="164" fontId="18" fillId="0" borderId="0" applyFont="0" applyFill="0" applyBorder="0" applyAlignment="0" applyProtection="0"/>
    <xf numFmtId="0" fontId="59" fillId="0" borderId="0" applyProtection="0"/>
    <xf numFmtId="169" fontId="18" fillId="0" borderId="0" applyFill="0" applyBorder="0" applyAlignment="0" applyProtection="0"/>
    <xf numFmtId="0" fontId="68" fillId="0" borderId="0"/>
    <xf numFmtId="0" fontId="18" fillId="0" borderId="0"/>
    <xf numFmtId="0" fontId="70" fillId="0" borderId="0"/>
    <xf numFmtId="0" fontId="4"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6" fillId="0" borderId="0"/>
  </cellStyleXfs>
  <cellXfs count="1236">
    <xf numFmtId="0" fontId="0" fillId="0" borderId="0" xfId="0"/>
    <xf numFmtId="0" fontId="5" fillId="0" borderId="0" xfId="1" applyFont="1" applyAlignment="1">
      <alignment horizontal="centerContinuous" vertical="center"/>
    </xf>
    <xf numFmtId="0" fontId="6" fillId="0" borderId="0" xfId="1" applyFont="1" applyAlignment="1">
      <alignment horizontal="centerContinuous" vertical="center"/>
    </xf>
    <xf numFmtId="0" fontId="6" fillId="0" borderId="0" xfId="1" applyFont="1" applyAlignment="1">
      <alignment vertical="center"/>
    </xf>
    <xf numFmtId="0" fontId="8" fillId="0" borderId="0" xfId="1" applyFont="1" applyAlignment="1">
      <alignment horizontal="left" vertical="center"/>
    </xf>
    <xf numFmtId="0" fontId="9" fillId="0" borderId="0" xfId="1" applyFont="1" applyAlignment="1">
      <alignment vertical="center"/>
    </xf>
    <xf numFmtId="0" fontId="8" fillId="0" borderId="0" xfId="1" applyFont="1" applyAlignment="1">
      <alignment horizontal="right" vertical="center"/>
    </xf>
    <xf numFmtId="0" fontId="10" fillId="0" borderId="0" xfId="1" applyFont="1" applyAlignment="1">
      <alignment vertical="center"/>
    </xf>
    <xf numFmtId="0" fontId="11" fillId="0" borderId="1" xfId="1" applyFont="1" applyBorder="1" applyAlignment="1">
      <alignment horizontal="center" vertical="center"/>
    </xf>
    <xf numFmtId="0" fontId="11" fillId="0" borderId="0" xfId="1" applyFont="1" applyAlignment="1">
      <alignment vertical="center"/>
    </xf>
    <xf numFmtId="0" fontId="7" fillId="0" borderId="3" xfId="1" applyFont="1" applyBorder="1" applyAlignment="1">
      <alignment horizontal="center" vertical="center"/>
    </xf>
    <xf numFmtId="0" fontId="9" fillId="0" borderId="3" xfId="1" applyFont="1" applyBorder="1" applyAlignment="1">
      <alignment horizontal="center" vertical="center"/>
    </xf>
    <xf numFmtId="0" fontId="7" fillId="0" borderId="0" xfId="1" applyFont="1" applyAlignment="1">
      <alignment vertical="center"/>
    </xf>
    <xf numFmtId="0" fontId="7" fillId="0" borderId="0" xfId="1" applyFont="1" applyAlignment="1">
      <alignment horizontal="right" vertical="center"/>
    </xf>
    <xf numFmtId="41" fontId="7" fillId="0" borderId="3" xfId="1" applyNumberFormat="1" applyFont="1" applyBorder="1" applyAlignment="1">
      <alignment vertical="center"/>
    </xf>
    <xf numFmtId="41" fontId="9" fillId="0" borderId="3" xfId="1" applyNumberFormat="1" applyFont="1" applyBorder="1" applyAlignment="1">
      <alignment vertical="center"/>
    </xf>
    <xf numFmtId="167" fontId="9" fillId="0" borderId="3" xfId="3" applyNumberFormat="1" applyFont="1" applyBorder="1" applyAlignment="1">
      <alignment vertical="center" wrapText="1"/>
    </xf>
    <xf numFmtId="0" fontId="6" fillId="2" borderId="0" xfId="2" applyFont="1" applyFill="1" applyAlignment="1">
      <alignment vertical="center"/>
    </xf>
    <xf numFmtId="0" fontId="8" fillId="2" borderId="0" xfId="2" applyFont="1" applyFill="1" applyAlignment="1">
      <alignment horizontal="left" vertical="center"/>
    </xf>
    <xf numFmtId="0" fontId="9" fillId="2" borderId="0" xfId="2" applyFont="1" applyFill="1" applyAlignment="1">
      <alignment vertical="center"/>
    </xf>
    <xf numFmtId="0" fontId="8" fillId="2" borderId="0" xfId="2" applyFont="1" applyFill="1" applyAlignment="1">
      <alignment horizontal="right" vertical="center"/>
    </xf>
    <xf numFmtId="0" fontId="10" fillId="2" borderId="0" xfId="2" applyFont="1" applyFill="1" applyAlignment="1">
      <alignment vertical="center"/>
    </xf>
    <xf numFmtId="0" fontId="11" fillId="2" borderId="1" xfId="2" applyFont="1" applyFill="1" applyBorder="1" applyAlignment="1">
      <alignment horizontal="center" vertical="center"/>
    </xf>
    <xf numFmtId="0" fontId="11" fillId="2" borderId="0" xfId="2" applyFont="1" applyFill="1" applyAlignment="1">
      <alignment vertical="center"/>
    </xf>
    <xf numFmtId="41" fontId="7" fillId="0" borderId="3" xfId="4" applyNumberFormat="1" applyFont="1" applyBorder="1" applyAlignment="1">
      <alignment vertical="center"/>
    </xf>
    <xf numFmtId="41" fontId="9" fillId="2" borderId="3" xfId="4" applyNumberFormat="1" applyFont="1" applyFill="1" applyBorder="1" applyAlignment="1">
      <alignment vertical="center"/>
    </xf>
    <xf numFmtId="41" fontId="9" fillId="0" borderId="3" xfId="4" applyNumberFormat="1" applyFont="1" applyBorder="1" applyAlignment="1">
      <alignment vertical="center"/>
    </xf>
    <xf numFmtId="0" fontId="9" fillId="0" borderId="3" xfId="4" applyFont="1" applyBorder="1" applyAlignment="1">
      <alignment horizontal="center" vertical="center"/>
    </xf>
    <xf numFmtId="0" fontId="9" fillId="0" borderId="3" xfId="4" applyFont="1" applyBorder="1" applyAlignment="1">
      <alignment vertical="center" wrapText="1"/>
    </xf>
    <xf numFmtId="0" fontId="7" fillId="2" borderId="3" xfId="2" applyFont="1" applyFill="1" applyBorder="1" applyAlignment="1">
      <alignment horizontal="center" vertical="center"/>
    </xf>
    <xf numFmtId="0" fontId="7" fillId="2" borderId="9" xfId="2" applyFont="1" applyFill="1" applyBorder="1" applyAlignment="1">
      <alignment horizontal="center" vertical="center"/>
    </xf>
    <xf numFmtId="0" fontId="9" fillId="2" borderId="4" xfId="2" applyFont="1" applyFill="1" applyBorder="1" applyAlignment="1">
      <alignment vertical="center"/>
    </xf>
    <xf numFmtId="0" fontId="8" fillId="2" borderId="0" xfId="2" applyFont="1" applyFill="1" applyAlignment="1">
      <alignment vertical="center"/>
    </xf>
    <xf numFmtId="168" fontId="6" fillId="2" borderId="3" xfId="5" applyNumberFormat="1" applyFont="1" applyFill="1" applyBorder="1" applyAlignment="1">
      <alignment vertical="center"/>
    </xf>
    <xf numFmtId="0" fontId="6" fillId="2" borderId="3" xfId="6" applyFont="1" applyFill="1" applyBorder="1" applyAlignment="1">
      <alignment horizontal="left" vertical="center" wrapText="1"/>
    </xf>
    <xf numFmtId="0" fontId="7" fillId="0" borderId="0" xfId="4" applyFont="1" applyAlignment="1">
      <alignment vertical="center"/>
    </xf>
    <xf numFmtId="0" fontId="9" fillId="0" borderId="0" xfId="4" applyFont="1" applyAlignment="1">
      <alignment vertical="center"/>
    </xf>
    <xf numFmtId="0" fontId="7" fillId="0" borderId="12" xfId="4" applyFont="1" applyBorder="1" applyAlignment="1">
      <alignment horizontal="center" vertical="center"/>
    </xf>
    <xf numFmtId="0" fontId="7" fillId="0" borderId="3" xfId="4" applyFont="1" applyBorder="1" applyAlignment="1">
      <alignment horizontal="center" vertical="center"/>
    </xf>
    <xf numFmtId="0" fontId="7" fillId="0" borderId="3" xfId="4" applyFont="1" applyBorder="1" applyAlignment="1">
      <alignment vertical="center" wrapText="1"/>
    </xf>
    <xf numFmtId="0" fontId="5" fillId="0" borderId="0" xfId="0" applyFont="1" applyAlignment="1">
      <alignment horizontal="centerContinuous" vertical="center"/>
    </xf>
    <xf numFmtId="0" fontId="7" fillId="0" borderId="0" xfId="0" applyFont="1" applyAlignment="1">
      <alignment horizontal="right" vertical="center"/>
    </xf>
    <xf numFmtId="0" fontId="6"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10" fillId="0" borderId="0" xfId="0" applyFont="1" applyAlignment="1">
      <alignment vertical="center"/>
    </xf>
    <xf numFmtId="0" fontId="11" fillId="0" borderId="1" xfId="0" applyFont="1" applyBorder="1" applyAlignment="1">
      <alignment horizontal="center" vertical="center"/>
    </xf>
    <xf numFmtId="0" fontId="11" fillId="0" borderId="0" xfId="0" applyFont="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3" fontId="19" fillId="0" borderId="2" xfId="0" applyNumberFormat="1" applyFont="1" applyBorder="1" applyAlignment="1">
      <alignment horizontal="right" vertical="center"/>
    </xf>
    <xf numFmtId="0" fontId="9" fillId="0" borderId="0" xfId="0" applyFont="1" applyAlignment="1">
      <alignment vertical="center"/>
    </xf>
    <xf numFmtId="0" fontId="7" fillId="0" borderId="3" xfId="0" applyFont="1" applyBorder="1" applyAlignment="1">
      <alignment horizontal="center" vertical="center"/>
    </xf>
    <xf numFmtId="0" fontId="7" fillId="0" borderId="3" xfId="0" applyFont="1" applyBorder="1" applyAlignment="1">
      <alignment vertical="center"/>
    </xf>
    <xf numFmtId="3" fontId="7" fillId="0" borderId="3" xfId="0" applyNumberFormat="1" applyFont="1" applyBorder="1" applyAlignment="1">
      <alignment horizontal="right" vertical="center"/>
    </xf>
    <xf numFmtId="0" fontId="9" fillId="0" borderId="3" xfId="0" applyFont="1" applyBorder="1" applyAlignment="1">
      <alignment horizontal="center" vertical="center"/>
    </xf>
    <xf numFmtId="0" fontId="9" fillId="0" borderId="3" xfId="0" applyFont="1" applyBorder="1" applyAlignment="1">
      <alignment vertical="center"/>
    </xf>
    <xf numFmtId="3" fontId="9" fillId="0" borderId="3" xfId="0" applyNumberFormat="1" applyFont="1" applyBorder="1" applyAlignment="1">
      <alignment horizontal="right" vertical="center"/>
    </xf>
    <xf numFmtId="0" fontId="8" fillId="0" borderId="0" xfId="0" applyFont="1" applyAlignment="1">
      <alignment vertical="center"/>
    </xf>
    <xf numFmtId="0" fontId="9" fillId="0" borderId="3" xfId="0" quotePrefix="1" applyFont="1" applyBorder="1" applyAlignment="1">
      <alignment horizontal="center" vertical="center"/>
    </xf>
    <xf numFmtId="0" fontId="9" fillId="0" borderId="3" xfId="0" applyFont="1" applyBorder="1" applyAlignment="1">
      <alignment horizontal="left" vertical="center" wrapText="1"/>
    </xf>
    <xf numFmtId="3" fontId="19" fillId="0" borderId="3" xfId="0" applyNumberFormat="1" applyFont="1" applyBorder="1" applyAlignment="1">
      <alignment horizontal="right" vertical="center"/>
    </xf>
    <xf numFmtId="0" fontId="9" fillId="0" borderId="4" xfId="0" applyFont="1" applyBorder="1" applyAlignment="1">
      <alignment vertical="center"/>
    </xf>
    <xf numFmtId="0" fontId="9" fillId="0" borderId="4" xfId="0" applyFont="1" applyBorder="1" applyAlignment="1">
      <alignment horizontal="right" vertical="center"/>
    </xf>
    <xf numFmtId="0" fontId="12" fillId="0" borderId="0" xfId="0" applyFont="1" applyAlignment="1">
      <alignment vertical="center"/>
    </xf>
    <xf numFmtId="0" fontId="9" fillId="0" borderId="0" xfId="0" applyFont="1" applyAlignment="1">
      <alignment horizontal="right" vertical="center"/>
    </xf>
    <xf numFmtId="0" fontId="6" fillId="0" borderId="0" xfId="0" applyFont="1" applyAlignment="1">
      <alignment horizontal="right" vertical="center"/>
    </xf>
    <xf numFmtId="0" fontId="12"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Continuous" vertical="center"/>
    </xf>
    <xf numFmtId="0" fontId="7" fillId="0" borderId="0" xfId="0" applyFont="1" applyAlignment="1">
      <alignment horizontal="centerContinuous" vertical="center"/>
    </xf>
    <xf numFmtId="0" fontId="7" fillId="0" borderId="0" xfId="0" applyFont="1" applyAlignment="1">
      <alignment vertical="center"/>
    </xf>
    <xf numFmtId="0" fontId="20" fillId="0" borderId="0" xfId="1" applyFont="1" applyAlignment="1">
      <alignment vertical="center"/>
    </xf>
    <xf numFmtId="0" fontId="8" fillId="0" borderId="0" xfId="1" applyFont="1" applyAlignment="1">
      <alignment horizontal="left" vertical="center" wrapText="1"/>
    </xf>
    <xf numFmtId="0" fontId="8" fillId="0" borderId="0" xfId="1" applyFont="1" applyAlignment="1">
      <alignment horizontal="center" vertical="center"/>
    </xf>
    <xf numFmtId="0" fontId="11" fillId="0" borderId="1" xfId="0" applyFont="1" applyBorder="1" applyAlignment="1">
      <alignment horizontal="center" vertical="center" wrapText="1"/>
    </xf>
    <xf numFmtId="0" fontId="11" fillId="0" borderId="1" xfId="0" quotePrefix="1" applyFont="1" applyBorder="1" applyAlignment="1">
      <alignment horizontal="center" vertical="center"/>
    </xf>
    <xf numFmtId="0" fontId="7" fillId="0" borderId="3" xfId="0" applyFont="1" applyBorder="1" applyAlignment="1">
      <alignment horizontal="center" vertical="center" wrapText="1"/>
    </xf>
    <xf numFmtId="41" fontId="19" fillId="0" borderId="3" xfId="4" applyNumberFormat="1" applyFont="1" applyBorder="1" applyAlignment="1">
      <alignment vertical="center"/>
    </xf>
    <xf numFmtId="0" fontId="7" fillId="0" borderId="3" xfId="0" applyFont="1" applyBorder="1" applyAlignment="1">
      <alignment horizontal="left" vertical="center" wrapText="1"/>
    </xf>
    <xf numFmtId="41" fontId="20" fillId="0" borderId="3" xfId="4" applyNumberFormat="1" applyFont="1" applyBorder="1" applyAlignment="1">
      <alignment vertical="center"/>
    </xf>
    <xf numFmtId="0" fontId="19" fillId="0" borderId="3" xfId="4" applyFont="1" applyBorder="1" applyAlignment="1">
      <alignment horizontal="center" vertical="center"/>
    </xf>
    <xf numFmtId="0" fontId="19" fillId="0" borderId="3" xfId="4" applyFont="1" applyBorder="1" applyAlignment="1">
      <alignment vertical="center" wrapText="1"/>
    </xf>
    <xf numFmtId="0" fontId="19" fillId="0" borderId="0" xfId="4" applyFont="1" applyAlignment="1">
      <alignment vertical="center"/>
    </xf>
    <xf numFmtId="0" fontId="19" fillId="0" borderId="3" xfId="0" applyFont="1" applyBorder="1" applyAlignment="1">
      <alignment horizontal="center" vertical="center"/>
    </xf>
    <xf numFmtId="0" fontId="19" fillId="0" borderId="3" xfId="0" applyFont="1" applyBorder="1" applyAlignment="1">
      <alignment vertical="center" wrapText="1"/>
    </xf>
    <xf numFmtId="3" fontId="19" fillId="0" borderId="3" xfId="0" applyNumberFormat="1" applyFont="1" applyBorder="1" applyAlignment="1">
      <alignment vertical="center"/>
    </xf>
    <xf numFmtId="0" fontId="19" fillId="0" borderId="0" xfId="0" applyFont="1" applyAlignment="1">
      <alignment vertical="center"/>
    </xf>
    <xf numFmtId="0" fontId="19" fillId="0" borderId="3" xfId="0" quotePrefix="1" applyFont="1" applyBorder="1" applyAlignment="1">
      <alignment horizontal="center" vertical="center"/>
    </xf>
    <xf numFmtId="0" fontId="19" fillId="0" borderId="9" xfId="0" applyFont="1" applyBorder="1" applyAlignment="1">
      <alignment horizontal="center" vertical="center"/>
    </xf>
    <xf numFmtId="0" fontId="19" fillId="0" borderId="9" xfId="0" applyFont="1" applyBorder="1" applyAlignment="1">
      <alignment vertical="center" wrapText="1"/>
    </xf>
    <xf numFmtId="3" fontId="19" fillId="0" borderId="9" xfId="0" applyNumberFormat="1" applyFont="1" applyBorder="1" applyAlignment="1">
      <alignment vertical="center"/>
    </xf>
    <xf numFmtId="0" fontId="9" fillId="0" borderId="4" xfId="0" applyFont="1" applyBorder="1" applyAlignment="1">
      <alignment vertical="center" wrapText="1"/>
    </xf>
    <xf numFmtId="0" fontId="9"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center" wrapText="1"/>
    </xf>
    <xf numFmtId="0" fontId="5" fillId="0" borderId="0" xfId="1" applyFont="1" applyAlignment="1">
      <alignment horizontal="centerContinuous" vertical="center" wrapText="1"/>
    </xf>
    <xf numFmtId="0" fontId="7" fillId="0" borderId="0" xfId="1" applyFont="1" applyAlignment="1">
      <alignment horizontal="centerContinuous" vertical="center"/>
    </xf>
    <xf numFmtId="0" fontId="11" fillId="0" borderId="1" xfId="1" applyFont="1" applyBorder="1" applyAlignment="1">
      <alignment horizontal="center" vertical="center" wrapText="1"/>
    </xf>
    <xf numFmtId="0" fontId="11" fillId="0" borderId="1" xfId="1" quotePrefix="1" applyFont="1" applyBorder="1" applyAlignment="1">
      <alignment horizontal="center" vertical="center"/>
    </xf>
    <xf numFmtId="0" fontId="7" fillId="0" borderId="12" xfId="1" applyFont="1" applyBorder="1" applyAlignment="1">
      <alignment horizontal="center" vertical="center"/>
    </xf>
    <xf numFmtId="0" fontId="7" fillId="0" borderId="2" xfId="1" applyFont="1" applyBorder="1" applyAlignment="1">
      <alignment horizontal="center" vertical="center" wrapText="1"/>
    </xf>
    <xf numFmtId="0" fontId="7" fillId="0" borderId="3" xfId="1" applyFont="1" applyBorder="1" applyAlignment="1">
      <alignment vertical="center" wrapText="1"/>
    </xf>
    <xf numFmtId="41" fontId="7" fillId="0" borderId="0" xfId="1" applyNumberFormat="1" applyFont="1" applyAlignment="1">
      <alignment vertical="center"/>
    </xf>
    <xf numFmtId="0" fontId="9" fillId="0" borderId="3" xfId="1" applyFont="1" applyBorder="1" applyAlignment="1">
      <alignment vertical="center" wrapText="1"/>
    </xf>
    <xf numFmtId="41" fontId="9" fillId="0" borderId="3" xfId="1" applyNumberFormat="1" applyFont="1" applyBorder="1" applyAlignment="1">
      <alignment vertical="center" wrapText="1"/>
    </xf>
    <xf numFmtId="0" fontId="9" fillId="0" borderId="9" xfId="1" applyFont="1" applyBorder="1" applyAlignment="1">
      <alignment vertical="center" wrapText="1"/>
    </xf>
    <xf numFmtId="41" fontId="9" fillId="0" borderId="9" xfId="1" applyNumberFormat="1" applyFont="1" applyBorder="1" applyAlignment="1">
      <alignment vertical="center"/>
    </xf>
    <xf numFmtId="0" fontId="7" fillId="0" borderId="9" xfId="1" applyFont="1" applyBorder="1" applyAlignment="1">
      <alignment horizontal="center" vertical="center"/>
    </xf>
    <xf numFmtId="0" fontId="7" fillId="0" borderId="9" xfId="1" applyFont="1" applyBorder="1" applyAlignment="1">
      <alignment vertical="center" wrapText="1"/>
    </xf>
    <xf numFmtId="41" fontId="7" fillId="0" borderId="3" xfId="1" applyNumberFormat="1" applyFont="1" applyBorder="1" applyAlignment="1">
      <alignment vertical="center" wrapText="1"/>
    </xf>
    <xf numFmtId="41" fontId="7" fillId="0" borderId="9" xfId="1" applyNumberFormat="1" applyFont="1" applyBorder="1" applyAlignment="1">
      <alignment vertical="center"/>
    </xf>
    <xf numFmtId="0" fontId="7" fillId="0" borderId="4" xfId="1" applyFont="1" applyBorder="1" applyAlignment="1">
      <alignment horizontal="center" vertical="center"/>
    </xf>
    <xf numFmtId="0" fontId="7" fillId="0" borderId="4" xfId="1" applyFont="1" applyBorder="1" applyAlignment="1">
      <alignment vertical="center" wrapText="1"/>
    </xf>
    <xf numFmtId="41" fontId="7" fillId="0" borderId="4" xfId="1" applyNumberFormat="1" applyFont="1" applyBorder="1" applyAlignment="1">
      <alignment vertical="center"/>
    </xf>
    <xf numFmtId="0" fontId="6" fillId="0" borderId="0" xfId="1" applyFont="1" applyAlignment="1">
      <alignment vertical="center" wrapText="1"/>
    </xf>
    <xf numFmtId="0" fontId="21" fillId="0" borderId="0" xfId="2" applyFont="1" applyAlignment="1">
      <alignment horizontal="centerContinuous" vertical="center"/>
    </xf>
    <xf numFmtId="0" fontId="22" fillId="0" borderId="0" xfId="2" applyFont="1" applyAlignment="1">
      <alignment horizontal="centerContinuous" vertical="center"/>
    </xf>
    <xf numFmtId="0" fontId="22" fillId="0" borderId="0" xfId="2" applyFont="1" applyAlignment="1">
      <alignment vertical="center"/>
    </xf>
    <xf numFmtId="0" fontId="23" fillId="0" borderId="0" xfId="2" applyFont="1" applyAlignment="1">
      <alignment horizontal="left" vertical="center"/>
    </xf>
    <xf numFmtId="3" fontId="20" fillId="0" borderId="0" xfId="2" applyNumberFormat="1" applyFont="1" applyAlignment="1">
      <alignment vertical="center"/>
    </xf>
    <xf numFmtId="0" fontId="24" fillId="0" borderId="0" xfId="2" applyFont="1" applyAlignment="1">
      <alignment vertical="center"/>
    </xf>
    <xf numFmtId="0" fontId="25" fillId="0" borderId="1" xfId="2" applyFont="1" applyBorder="1" applyAlignment="1">
      <alignment horizontal="center" vertical="center"/>
    </xf>
    <xf numFmtId="0" fontId="25" fillId="0" borderId="0" xfId="2" applyFont="1" applyAlignment="1">
      <alignment vertical="center"/>
    </xf>
    <xf numFmtId="0" fontId="19" fillId="0" borderId="2" xfId="2" applyFont="1" applyBorder="1" applyAlignment="1">
      <alignment horizontal="center" vertical="center"/>
    </xf>
    <xf numFmtId="0" fontId="19" fillId="0" borderId="2" xfId="2" applyFont="1" applyBorder="1" applyAlignment="1">
      <alignment vertical="center"/>
    </xf>
    <xf numFmtId="3" fontId="19" fillId="0" borderId="2" xfId="2" applyNumberFormat="1" applyFont="1" applyBorder="1" applyAlignment="1">
      <alignment vertical="center"/>
    </xf>
    <xf numFmtId="0" fontId="20" fillId="0" borderId="0" xfId="2" applyFont="1" applyAlignment="1">
      <alignment vertical="center"/>
    </xf>
    <xf numFmtId="0" fontId="19" fillId="0" borderId="3" xfId="2" applyFont="1" applyBorder="1" applyAlignment="1">
      <alignment horizontal="center" vertical="center"/>
    </xf>
    <xf numFmtId="0" fontId="19" fillId="0" borderId="3" xfId="2" applyFont="1" applyBorder="1" applyAlignment="1">
      <alignment vertical="center"/>
    </xf>
    <xf numFmtId="3" fontId="19" fillId="0" borderId="3" xfId="2" applyNumberFormat="1" applyFont="1" applyBorder="1" applyAlignment="1">
      <alignment vertical="center"/>
    </xf>
    <xf numFmtId="0" fontId="19" fillId="0" borderId="0" xfId="2" applyFont="1" applyAlignment="1">
      <alignment vertical="center"/>
    </xf>
    <xf numFmtId="0" fontId="20" fillId="0" borderId="3" xfId="2" applyFont="1" applyBorder="1" applyAlignment="1">
      <alignment horizontal="center" vertical="center"/>
    </xf>
    <xf numFmtId="0" fontId="20" fillId="0" borderId="3" xfId="2" applyFont="1" applyBorder="1" applyAlignment="1">
      <alignment vertical="center"/>
    </xf>
    <xf numFmtId="3" fontId="20" fillId="0" borderId="3" xfId="2" applyNumberFormat="1" applyFont="1" applyBorder="1" applyAlignment="1">
      <alignment vertical="center"/>
    </xf>
    <xf numFmtId="0" fontId="23" fillId="0" borderId="3" xfId="2" applyFont="1" applyBorder="1" applyAlignment="1">
      <alignment horizontal="center" vertical="center"/>
    </xf>
    <xf numFmtId="0" fontId="23" fillId="0" borderId="3" xfId="2" applyFont="1" applyBorder="1" applyAlignment="1">
      <alignment vertical="center"/>
    </xf>
    <xf numFmtId="3" fontId="23" fillId="0" borderId="3" xfId="2" applyNumberFormat="1" applyFont="1" applyBorder="1" applyAlignment="1">
      <alignment vertical="center"/>
    </xf>
    <xf numFmtId="0" fontId="23" fillId="0" borderId="0" xfId="2" applyFont="1" applyAlignment="1">
      <alignment vertical="center"/>
    </xf>
    <xf numFmtId="0" fontId="20" fillId="0" borderId="3" xfId="2" quotePrefix="1" applyFont="1" applyBorder="1" applyAlignment="1">
      <alignment horizontal="center" vertical="center"/>
    </xf>
    <xf numFmtId="0" fontId="23" fillId="0" borderId="3" xfId="2" quotePrefix="1" applyFont="1" applyBorder="1" applyAlignment="1">
      <alignment horizontal="center" vertical="center"/>
    </xf>
    <xf numFmtId="3" fontId="23" fillId="0" borderId="0" xfId="2" applyNumberFormat="1" applyFont="1" applyAlignment="1">
      <alignment vertical="center"/>
    </xf>
    <xf numFmtId="0" fontId="23" fillId="0" borderId="3" xfId="2" applyFont="1" applyBorder="1" applyAlignment="1">
      <alignment vertical="center" wrapText="1"/>
    </xf>
    <xf numFmtId="0" fontId="20" fillId="0" borderId="3" xfId="2" applyFont="1" applyBorder="1" applyAlignment="1">
      <alignment horizontal="left" vertical="center" wrapText="1"/>
    </xf>
    <xf numFmtId="170" fontId="19" fillId="0" borderId="3" xfId="9" quotePrefix="1" applyNumberFormat="1" applyFont="1" applyFill="1" applyBorder="1" applyAlignment="1">
      <alignment horizontal="center" vertical="center" wrapText="1"/>
    </xf>
    <xf numFmtId="11" fontId="19" fillId="0" borderId="3" xfId="9" applyNumberFormat="1" applyFont="1" applyFill="1" applyBorder="1" applyAlignment="1">
      <alignment vertical="center" wrapText="1"/>
    </xf>
    <xf numFmtId="170" fontId="20" fillId="0" borderId="3" xfId="9" quotePrefix="1" applyNumberFormat="1" applyFont="1" applyFill="1" applyBorder="1" applyAlignment="1">
      <alignment horizontal="center" vertical="center" wrapText="1"/>
    </xf>
    <xf numFmtId="11" fontId="20" fillId="0" borderId="3" xfId="10" applyNumberFormat="1" applyFont="1" applyFill="1" applyBorder="1" applyAlignment="1">
      <alignment vertical="center" wrapText="1"/>
    </xf>
    <xf numFmtId="170" fontId="23" fillId="0" borderId="9" xfId="9" quotePrefix="1" applyNumberFormat="1" applyFont="1" applyFill="1" applyBorder="1" applyAlignment="1">
      <alignment horizontal="center" vertical="center" wrapText="1"/>
    </xf>
    <xf numFmtId="11" fontId="23" fillId="0" borderId="3" xfId="10" applyNumberFormat="1" applyFont="1" applyFill="1" applyBorder="1" applyAlignment="1">
      <alignment vertical="center" wrapText="1"/>
    </xf>
    <xf numFmtId="169" fontId="23" fillId="0" borderId="3" xfId="10" applyFont="1" applyFill="1" applyBorder="1" applyAlignment="1">
      <alignment vertical="center" wrapText="1"/>
    </xf>
    <xf numFmtId="0" fontId="26" fillId="0" borderId="3" xfId="2" applyFont="1" applyBorder="1" applyAlignment="1">
      <alignment vertical="center"/>
    </xf>
    <xf numFmtId="0" fontId="19" fillId="0" borderId="3" xfId="2" applyFont="1" applyBorder="1" applyAlignment="1">
      <alignment vertical="center" wrapText="1"/>
    </xf>
    <xf numFmtId="0" fontId="19" fillId="0" borderId="3" xfId="11" applyFont="1" applyBorder="1" applyAlignment="1">
      <alignment horizontal="center" vertical="center" wrapText="1"/>
    </xf>
    <xf numFmtId="0" fontId="19" fillId="0" borderId="3" xfId="11" applyFont="1" applyBorder="1" applyAlignment="1">
      <alignment vertical="center" wrapText="1"/>
    </xf>
    <xf numFmtId="0" fontId="20" fillId="0" borderId="3" xfId="11" applyFont="1" applyBorder="1" applyAlignment="1">
      <alignment horizontal="center" vertical="center" wrapText="1"/>
    </xf>
    <xf numFmtId="0" fontId="20" fillId="0" borderId="3" xfId="11" applyFont="1" applyBorder="1" applyAlignment="1">
      <alignment vertical="center" wrapText="1"/>
    </xf>
    <xf numFmtId="0" fontId="20" fillId="0" borderId="3" xfId="2" applyFont="1" applyBorder="1" applyAlignment="1">
      <alignment vertical="center" wrapText="1"/>
    </xf>
    <xf numFmtId="0" fontId="20" fillId="0" borderId="9" xfId="2" applyFont="1" applyBorder="1" applyAlignment="1">
      <alignment vertical="center" wrapText="1"/>
    </xf>
    <xf numFmtId="0" fontId="20" fillId="0" borderId="9" xfId="11" applyFont="1" applyBorder="1" applyAlignment="1">
      <alignment vertical="center" wrapText="1"/>
    </xf>
    <xf numFmtId="0" fontId="20" fillId="0" borderId="9" xfId="11" applyFont="1" applyBorder="1" applyAlignment="1">
      <alignment horizontal="center" vertical="center" wrapText="1"/>
    </xf>
    <xf numFmtId="0" fontId="9" fillId="0" borderId="9" xfId="11" applyFont="1" applyBorder="1" applyAlignment="1">
      <alignment horizontal="center" vertical="center" wrapText="1"/>
    </xf>
    <xf numFmtId="0" fontId="9" fillId="0" borderId="9" xfId="11" applyFont="1" applyBorder="1" applyAlignment="1">
      <alignment vertical="center" wrapText="1"/>
    </xf>
    <xf numFmtId="171" fontId="20" fillId="0" borderId="3" xfId="2" applyNumberFormat="1" applyFont="1" applyBorder="1" applyAlignment="1">
      <alignment vertical="center"/>
    </xf>
    <xf numFmtId="171" fontId="19" fillId="0" borderId="3" xfId="2" applyNumberFormat="1" applyFont="1" applyBorder="1" applyAlignment="1">
      <alignment vertical="center"/>
    </xf>
    <xf numFmtId="0" fontId="20" fillId="0" borderId="4" xfId="2" applyFont="1" applyBorder="1" applyAlignment="1">
      <alignment vertical="center"/>
    </xf>
    <xf numFmtId="0" fontId="5" fillId="0" borderId="0" xfId="12" applyFont="1" applyAlignment="1">
      <alignment horizontal="centerContinuous" vertical="center"/>
    </xf>
    <xf numFmtId="0" fontId="6" fillId="0" borderId="0" xfId="12" applyFont="1" applyAlignment="1">
      <alignment horizontal="right" vertical="center" wrapText="1"/>
    </xf>
    <xf numFmtId="0" fontId="6" fillId="0" borderId="0" xfId="12" applyFont="1" applyAlignment="1">
      <alignment horizontal="centerContinuous" vertical="center"/>
    </xf>
    <xf numFmtId="0" fontId="6" fillId="0" borderId="0" xfId="12" applyFont="1" applyAlignment="1">
      <alignment vertical="center"/>
    </xf>
    <xf numFmtId="0" fontId="8" fillId="0" borderId="0" xfId="12" applyFont="1" applyAlignment="1">
      <alignment horizontal="left" vertical="center"/>
    </xf>
    <xf numFmtId="0" fontId="9" fillId="0" borderId="0" xfId="12" applyFont="1" applyAlignment="1">
      <alignment vertical="center"/>
    </xf>
    <xf numFmtId="0" fontId="8" fillId="0" borderId="0" xfId="12" applyFont="1" applyAlignment="1">
      <alignment vertical="center"/>
    </xf>
    <xf numFmtId="0" fontId="8" fillId="0" borderId="0" xfId="12" applyFont="1" applyAlignment="1">
      <alignment horizontal="right" vertical="center"/>
    </xf>
    <xf numFmtId="0" fontId="10" fillId="0" borderId="0" xfId="12" applyFont="1" applyAlignment="1">
      <alignment vertical="center"/>
    </xf>
    <xf numFmtId="0" fontId="11" fillId="0" borderId="1" xfId="12" applyFont="1" applyBorder="1" applyAlignment="1">
      <alignment horizontal="center" vertical="center"/>
    </xf>
    <xf numFmtId="0" fontId="11" fillId="0" borderId="1" xfId="12" applyFont="1" applyBorder="1" applyAlignment="1">
      <alignment horizontal="center" vertical="center" wrapText="1"/>
    </xf>
    <xf numFmtId="0" fontId="11" fillId="0" borderId="0" xfId="12" applyFont="1" applyAlignment="1">
      <alignment vertical="center"/>
    </xf>
    <xf numFmtId="0" fontId="5" fillId="0" borderId="13" xfId="12" applyFont="1" applyBorder="1" applyAlignment="1">
      <alignment horizontal="center" vertical="center" wrapText="1"/>
    </xf>
    <xf numFmtId="0" fontId="5" fillId="0" borderId="13" xfId="12" applyFont="1" applyBorder="1" applyAlignment="1">
      <alignment vertical="center" wrapText="1"/>
    </xf>
    <xf numFmtId="172" fontId="5" fillId="0" borderId="13" xfId="5" applyNumberFormat="1" applyFont="1" applyFill="1" applyBorder="1" applyAlignment="1">
      <alignment horizontal="right" vertical="center" wrapText="1"/>
    </xf>
    <xf numFmtId="165" fontId="5" fillId="0" borderId="2" xfId="14" applyNumberFormat="1" applyFont="1" applyBorder="1" applyAlignment="1">
      <alignment vertical="center"/>
    </xf>
    <xf numFmtId="0" fontId="7" fillId="0" borderId="0" xfId="12" applyFont="1" applyAlignment="1">
      <alignment vertical="center"/>
    </xf>
    <xf numFmtId="0" fontId="5" fillId="0" borderId="14" xfId="12" applyFont="1" applyBorder="1" applyAlignment="1">
      <alignment horizontal="center" vertical="center" wrapText="1"/>
    </xf>
    <xf numFmtId="0" fontId="5" fillId="0" borderId="14" xfId="12" applyFont="1" applyBorder="1" applyAlignment="1">
      <alignment vertical="center" wrapText="1"/>
    </xf>
    <xf numFmtId="172" fontId="5" fillId="0" borderId="14" xfId="5" applyNumberFormat="1" applyFont="1" applyFill="1" applyBorder="1" applyAlignment="1">
      <alignment horizontal="right" vertical="center" wrapText="1"/>
    </xf>
    <xf numFmtId="165" fontId="5" fillId="0" borderId="3" xfId="14" applyNumberFormat="1" applyFont="1" applyBorder="1" applyAlignment="1">
      <alignment vertical="center"/>
    </xf>
    <xf numFmtId="0" fontId="6" fillId="0" borderId="14" xfId="12" applyFont="1" applyBorder="1" applyAlignment="1">
      <alignment horizontal="center" vertical="center" wrapText="1"/>
    </xf>
    <xf numFmtId="0" fontId="6" fillId="0" borderId="14" xfId="12" applyFont="1" applyBorder="1" applyAlignment="1">
      <alignment vertical="center" wrapText="1"/>
    </xf>
    <xf numFmtId="172" fontId="6" fillId="0" borderId="14" xfId="5" applyNumberFormat="1" applyFont="1" applyFill="1" applyBorder="1" applyAlignment="1">
      <alignment horizontal="right" vertical="center" wrapText="1"/>
    </xf>
    <xf numFmtId="165" fontId="6" fillId="0" borderId="3" xfId="14" applyNumberFormat="1" applyFont="1" applyBorder="1" applyAlignment="1">
      <alignment vertical="center"/>
    </xf>
    <xf numFmtId="165" fontId="12" fillId="0" borderId="3" xfId="14" applyNumberFormat="1" applyFont="1" applyBorder="1" applyAlignment="1">
      <alignment vertical="center"/>
    </xf>
    <xf numFmtId="0" fontId="12" fillId="0" borderId="14" xfId="12" applyFont="1" applyBorder="1" applyAlignment="1">
      <alignment horizontal="center" vertical="center" wrapText="1"/>
    </xf>
    <xf numFmtId="0" fontId="12" fillId="0" borderId="14" xfId="12" applyFont="1" applyBorder="1" applyAlignment="1">
      <alignment vertical="center" wrapText="1"/>
    </xf>
    <xf numFmtId="172" fontId="12" fillId="0" borderId="14" xfId="5" applyNumberFormat="1" applyFont="1" applyFill="1" applyBorder="1" applyAlignment="1">
      <alignment horizontal="right" vertical="center" wrapText="1"/>
    </xf>
    <xf numFmtId="170" fontId="5" fillId="2" borderId="3" xfId="9" applyNumberFormat="1" applyFont="1" applyFill="1" applyBorder="1" applyAlignment="1">
      <alignment vertical="center" wrapText="1"/>
    </xf>
    <xf numFmtId="0" fontId="6" fillId="0" borderId="15" xfId="12" applyFont="1" applyBorder="1" applyAlignment="1">
      <alignment vertical="center" wrapText="1"/>
    </xf>
    <xf numFmtId="165" fontId="6" fillId="0" borderId="9" xfId="14" applyNumberFormat="1" applyFont="1" applyBorder="1" applyAlignment="1">
      <alignment vertical="center"/>
    </xf>
    <xf numFmtId="0" fontId="6" fillId="0" borderId="3" xfId="12" applyFont="1" applyBorder="1" applyAlignment="1">
      <alignment vertical="center" wrapText="1"/>
    </xf>
    <xf numFmtId="172" fontId="6" fillId="0" borderId="16" xfId="5" applyNumberFormat="1" applyFont="1" applyFill="1" applyBorder="1" applyAlignment="1">
      <alignment horizontal="right" vertical="center" wrapText="1"/>
    </xf>
    <xf numFmtId="172" fontId="6" fillId="0" borderId="17" xfId="5" applyNumberFormat="1" applyFont="1" applyFill="1" applyBorder="1" applyAlignment="1">
      <alignment horizontal="right" vertical="center" wrapText="1"/>
    </xf>
    <xf numFmtId="0" fontId="5" fillId="0" borderId="4" xfId="12" applyFont="1" applyBorder="1" applyAlignment="1">
      <alignment horizontal="center" vertical="center"/>
    </xf>
    <xf numFmtId="0" fontId="5" fillId="0" borderId="4" xfId="12" applyFont="1" applyBorder="1" applyAlignment="1">
      <alignment horizontal="left" vertical="center" wrapText="1"/>
    </xf>
    <xf numFmtId="0" fontId="5" fillId="0" borderId="4" xfId="12" applyFont="1" applyBorder="1" applyAlignment="1">
      <alignment horizontal="right" vertical="center"/>
    </xf>
    <xf numFmtId="0" fontId="5" fillId="0" borderId="0" xfId="12" applyFont="1" applyAlignment="1">
      <alignment horizontal="center" vertical="center"/>
    </xf>
    <xf numFmtId="0" fontId="12" fillId="0" borderId="0" xfId="12" quotePrefix="1" applyFont="1" applyAlignment="1">
      <alignment horizontal="left" vertical="center" wrapText="1"/>
    </xf>
    <xf numFmtId="0" fontId="9" fillId="0" borderId="0" xfId="12" applyFont="1" applyAlignment="1">
      <alignment vertical="center" wrapText="1"/>
    </xf>
    <xf numFmtId="0" fontId="6" fillId="0" borderId="0" xfId="12" applyFont="1" applyAlignment="1">
      <alignment vertical="center" wrapText="1"/>
    </xf>
    <xf numFmtId="0" fontId="9" fillId="0" borderId="0" xfId="11" applyFont="1" applyAlignment="1">
      <alignment vertical="center"/>
    </xf>
    <xf numFmtId="0" fontId="5" fillId="0" borderId="0" xfId="11" applyFont="1" applyAlignment="1">
      <alignment horizontal="centerContinuous" vertical="center"/>
    </xf>
    <xf numFmtId="0" fontId="6" fillId="0" borderId="0" xfId="11" applyFont="1" applyAlignment="1">
      <alignment horizontal="right" vertical="center"/>
    </xf>
    <xf numFmtId="0" fontId="6" fillId="0" borderId="0" xfId="11" applyFont="1" applyAlignment="1">
      <alignment horizontal="centerContinuous" vertical="center"/>
    </xf>
    <xf numFmtId="0" fontId="6" fillId="0" borderId="0" xfId="11" applyFont="1" applyAlignment="1">
      <alignment vertical="center"/>
    </xf>
    <xf numFmtId="0" fontId="10" fillId="0" borderId="0" xfId="11" applyFont="1" applyAlignment="1">
      <alignment vertical="center"/>
    </xf>
    <xf numFmtId="0" fontId="11" fillId="0" borderId="0" xfId="11" applyFont="1" applyAlignment="1">
      <alignment vertical="center"/>
    </xf>
    <xf numFmtId="3" fontId="9" fillId="0" borderId="0" xfId="11" applyNumberFormat="1" applyFont="1" applyAlignment="1">
      <alignment vertical="center"/>
    </xf>
    <xf numFmtId="3" fontId="7" fillId="0" borderId="0" xfId="11" applyNumberFormat="1" applyFont="1" applyAlignment="1">
      <alignment vertical="center"/>
    </xf>
    <xf numFmtId="0" fontId="7" fillId="0" borderId="0" xfId="11" applyFont="1" applyAlignment="1">
      <alignment vertical="center"/>
    </xf>
    <xf numFmtId="0" fontId="12" fillId="0" borderId="0" xfId="11" applyFont="1" applyAlignment="1">
      <alignment vertical="center"/>
    </xf>
    <xf numFmtId="0" fontId="8" fillId="0" borderId="0" xfId="11" applyFont="1" applyAlignment="1">
      <alignment vertical="center"/>
    </xf>
    <xf numFmtId="0" fontId="9" fillId="0" borderId="4" xfId="11" applyFont="1" applyBorder="1" applyAlignment="1">
      <alignment vertical="center"/>
    </xf>
    <xf numFmtId="9" fontId="9" fillId="0" borderId="3" xfId="11" applyNumberFormat="1" applyFont="1" applyBorder="1" applyAlignment="1">
      <alignment horizontal="center" vertical="center"/>
    </xf>
    <xf numFmtId="3" fontId="9" fillId="0" borderId="3" xfId="11" applyNumberFormat="1" applyFont="1" applyBorder="1" applyAlignment="1">
      <alignment vertical="center"/>
    </xf>
    <xf numFmtId="3" fontId="7" fillId="0" borderId="3" xfId="11" applyNumberFormat="1" applyFont="1" applyBorder="1" applyAlignment="1">
      <alignment vertical="center"/>
    </xf>
    <xf numFmtId="0" fontId="7" fillId="0" borderId="3" xfId="11" applyFont="1" applyBorder="1" applyAlignment="1">
      <alignment vertical="center"/>
    </xf>
    <xf numFmtId="0" fontId="7" fillId="0" borderId="3" xfId="11" applyFont="1" applyBorder="1" applyAlignment="1">
      <alignment horizontal="center" vertical="center"/>
    </xf>
    <xf numFmtId="9" fontId="7" fillId="0" borderId="3" xfId="11" applyNumberFormat="1" applyFont="1" applyBorder="1" applyAlignment="1">
      <alignment horizontal="center" vertical="center"/>
    </xf>
    <xf numFmtId="0" fontId="9" fillId="0" borderId="3" xfId="11" applyFont="1" applyBorder="1" applyAlignment="1">
      <alignment vertical="center" wrapText="1"/>
    </xf>
    <xf numFmtId="0" fontId="9" fillId="0" borderId="3" xfId="11" applyFont="1" applyBorder="1" applyAlignment="1">
      <alignment horizontal="center" vertical="center"/>
    </xf>
    <xf numFmtId="0" fontId="9" fillId="0" borderId="3" xfId="11" applyFont="1" applyBorder="1" applyAlignment="1">
      <alignment vertical="center"/>
    </xf>
    <xf numFmtId="9" fontId="8" fillId="0" borderId="3" xfId="11" applyNumberFormat="1" applyFont="1" applyBorder="1" applyAlignment="1">
      <alignment horizontal="center" vertical="center"/>
    </xf>
    <xf numFmtId="3" fontId="8" fillId="0" borderId="3" xfId="11" applyNumberFormat="1" applyFont="1" applyBorder="1" applyAlignment="1">
      <alignment vertical="center"/>
    </xf>
    <xf numFmtId="0" fontId="8" fillId="0" borderId="3" xfId="11" applyFont="1" applyBorder="1" applyAlignment="1">
      <alignment vertical="center" wrapText="1"/>
    </xf>
    <xf numFmtId="0" fontId="8" fillId="0" borderId="3" xfId="11" applyFont="1" applyBorder="1" applyAlignment="1">
      <alignment horizontal="center" vertical="center"/>
    </xf>
    <xf numFmtId="0" fontId="11" fillId="0" borderId="1" xfId="11" applyFont="1" applyBorder="1" applyAlignment="1">
      <alignment horizontal="center" vertical="center"/>
    </xf>
    <xf numFmtId="0" fontId="8" fillId="0" borderId="0" xfId="11" applyFont="1" applyAlignment="1">
      <alignment horizontal="left" vertical="center"/>
    </xf>
    <xf numFmtId="0" fontId="7" fillId="0" borderId="2" xfId="11" applyFont="1" applyBorder="1" applyAlignment="1">
      <alignment horizontal="center" vertical="center"/>
    </xf>
    <xf numFmtId="3" fontId="7" fillId="0" borderId="2" xfId="11" applyNumberFormat="1" applyFont="1" applyBorder="1" applyAlignment="1">
      <alignment vertical="center"/>
    </xf>
    <xf numFmtId="0" fontId="7" fillId="0" borderId="3" xfId="11" applyFont="1" applyBorder="1" applyAlignment="1">
      <alignment vertical="center" wrapText="1"/>
    </xf>
    <xf numFmtId="0" fontId="8" fillId="0" borderId="3" xfId="11" quotePrefix="1" applyFont="1" applyBorder="1" applyAlignment="1">
      <alignment horizontal="center" vertical="center"/>
    </xf>
    <xf numFmtId="0" fontId="9" fillId="0" borderId="3" xfId="11" quotePrefix="1" applyFont="1" applyBorder="1" applyAlignment="1">
      <alignment horizontal="center" vertical="center"/>
    </xf>
    <xf numFmtId="0" fontId="6" fillId="0" borderId="0" xfId="11" applyFont="1" applyAlignment="1">
      <alignment vertical="center" wrapText="1"/>
    </xf>
    <xf numFmtId="0" fontId="7" fillId="0" borderId="2" xfId="11" applyFont="1" applyBorder="1" applyAlignment="1">
      <alignment vertical="center"/>
    </xf>
    <xf numFmtId="0" fontId="38" fillId="0" borderId="1" xfId="0" applyFont="1" applyBorder="1" applyAlignment="1">
      <alignment horizontal="center" vertical="center"/>
    </xf>
    <xf numFmtId="3" fontId="7" fillId="0" borderId="2" xfId="0" applyNumberFormat="1" applyFont="1" applyBorder="1" applyAlignment="1">
      <alignment vertical="center"/>
    </xf>
    <xf numFmtId="3" fontId="9" fillId="0" borderId="3" xfId="0" applyNumberFormat="1" applyFont="1" applyBorder="1" applyAlignment="1">
      <alignment vertical="center"/>
    </xf>
    <xf numFmtId="0" fontId="5" fillId="0" borderId="0" xfId="0" applyFont="1" applyAlignment="1">
      <alignment vertical="center"/>
    </xf>
    <xf numFmtId="0" fontId="12" fillId="0" borderId="0" xfId="0" applyFont="1" applyAlignment="1">
      <alignment horizontal="left" vertical="center"/>
    </xf>
    <xf numFmtId="0" fontId="7" fillId="0" borderId="0" xfId="11" applyFont="1" applyAlignment="1">
      <alignment horizontal="centerContinuous" vertical="center"/>
    </xf>
    <xf numFmtId="0" fontId="7" fillId="0" borderId="3" xfId="11" applyFont="1" applyBorder="1" applyAlignment="1">
      <alignment horizontal="center" vertical="center" wrapText="1"/>
    </xf>
    <xf numFmtId="0" fontId="9" fillId="0" borderId="3" xfId="11" applyFont="1" applyBorder="1" applyAlignment="1">
      <alignment horizontal="center" vertical="center" wrapText="1"/>
    </xf>
    <xf numFmtId="9" fontId="20" fillId="0" borderId="3" xfId="14" applyFont="1" applyFill="1" applyBorder="1" applyAlignment="1">
      <alignment horizontal="right" vertical="center" wrapText="1"/>
    </xf>
    <xf numFmtId="9" fontId="7" fillId="0" borderId="3" xfId="14" applyFont="1" applyFill="1" applyBorder="1" applyAlignment="1">
      <alignment horizontal="right" vertical="center" wrapText="1"/>
    </xf>
    <xf numFmtId="3" fontId="9" fillId="0" borderId="3" xfId="16" applyNumberFormat="1" applyFont="1" applyBorder="1" applyAlignment="1">
      <alignment vertical="center"/>
    </xf>
    <xf numFmtId="9" fontId="9" fillId="0" borderId="3" xfId="14" applyFont="1" applyFill="1" applyBorder="1" applyAlignment="1">
      <alignment horizontal="right" vertical="center" wrapText="1"/>
    </xf>
    <xf numFmtId="0" fontId="8" fillId="0" borderId="3" xfId="11" quotePrefix="1" applyFont="1" applyBorder="1" applyAlignment="1">
      <alignment horizontal="center" vertical="center" wrapText="1"/>
    </xf>
    <xf numFmtId="9" fontId="8" fillId="0" borderId="3" xfId="14" applyFont="1" applyFill="1" applyBorder="1" applyAlignment="1">
      <alignment horizontal="right" vertical="center" wrapText="1"/>
    </xf>
    <xf numFmtId="0" fontId="8" fillId="0" borderId="9" xfId="11" applyFont="1" applyBorder="1" applyAlignment="1">
      <alignment horizontal="center" vertical="center" wrapText="1"/>
    </xf>
    <xf numFmtId="0" fontId="8" fillId="0" borderId="9" xfId="11" applyFont="1" applyBorder="1" applyAlignment="1">
      <alignment vertical="center" wrapText="1"/>
    </xf>
    <xf numFmtId="0" fontId="5" fillId="0" borderId="0" xfId="16" applyFont="1" applyAlignment="1">
      <alignment horizontal="centerContinuous" vertical="center"/>
    </xf>
    <xf numFmtId="0" fontId="6" fillId="0" borderId="0" xfId="16" applyFont="1" applyAlignment="1">
      <alignment horizontal="centerContinuous" vertical="center"/>
    </xf>
    <xf numFmtId="0" fontId="7" fillId="0" borderId="0" xfId="16" applyFont="1" applyAlignment="1">
      <alignment horizontal="centerContinuous" vertical="center"/>
    </xf>
    <xf numFmtId="0" fontId="7" fillId="0" borderId="0" xfId="16" applyFont="1" applyAlignment="1">
      <alignment horizontal="right" vertical="center"/>
    </xf>
    <xf numFmtId="0" fontId="6" fillId="0" borderId="0" xfId="16" applyFont="1" applyAlignment="1">
      <alignment vertical="center"/>
    </xf>
    <xf numFmtId="0" fontId="8" fillId="0" borderId="0" xfId="16" applyFont="1" applyAlignment="1">
      <alignment horizontal="center" vertical="center"/>
    </xf>
    <xf numFmtId="0" fontId="8" fillId="0" borderId="0" xfId="16" applyFont="1" applyAlignment="1">
      <alignment horizontal="left" vertical="center"/>
    </xf>
    <xf numFmtId="0" fontId="9" fillId="0" borderId="0" xfId="16" applyFont="1" applyAlignment="1">
      <alignment vertical="center"/>
    </xf>
    <xf numFmtId="0" fontId="8" fillId="0" borderId="0" xfId="16" applyFont="1" applyAlignment="1">
      <alignment horizontal="right" vertical="center"/>
    </xf>
    <xf numFmtId="0" fontId="10" fillId="0" borderId="0" xfId="16" applyFont="1" applyAlignment="1">
      <alignment vertical="center"/>
    </xf>
    <xf numFmtId="175" fontId="7" fillId="0" borderId="1" xfId="17" applyNumberFormat="1" applyFont="1" applyBorder="1" applyAlignment="1">
      <alignment horizontal="center" vertical="center" wrapText="1"/>
    </xf>
    <xf numFmtId="0" fontId="7" fillId="0" borderId="2" xfId="16" applyFont="1" applyBorder="1" applyAlignment="1">
      <alignment horizontal="center" vertical="center"/>
    </xf>
    <xf numFmtId="9" fontId="7" fillId="0" borderId="2" xfId="14" applyFont="1" applyFill="1" applyBorder="1" applyAlignment="1">
      <alignment horizontal="right" vertical="center"/>
    </xf>
    <xf numFmtId="0" fontId="9" fillId="0" borderId="3" xfId="16" applyFont="1" applyBorder="1" applyAlignment="1">
      <alignment horizontal="center" vertical="center"/>
    </xf>
    <xf numFmtId="0" fontId="9" fillId="0" borderId="3" xfId="16" applyFont="1" applyBorder="1" applyAlignment="1">
      <alignment vertical="center"/>
    </xf>
    <xf numFmtId="170" fontId="9" fillId="0" borderId="3" xfId="9" applyNumberFormat="1" applyFont="1" applyFill="1" applyBorder="1" applyAlignment="1">
      <alignment horizontal="right" vertical="center" wrapText="1"/>
    </xf>
    <xf numFmtId="170" fontId="9" fillId="0" borderId="3" xfId="9" applyNumberFormat="1" applyFont="1" applyFill="1" applyBorder="1" applyAlignment="1">
      <alignment horizontal="right" vertical="center"/>
    </xf>
    <xf numFmtId="9" fontId="9" fillId="0" borderId="3" xfId="14" applyFont="1" applyFill="1" applyBorder="1" applyAlignment="1">
      <alignment horizontal="right" vertical="center"/>
    </xf>
    <xf numFmtId="0" fontId="9" fillId="0" borderId="4" xfId="16" applyFont="1" applyBorder="1" applyAlignment="1">
      <alignment vertical="center"/>
    </xf>
    <xf numFmtId="0" fontId="11" fillId="0" borderId="1" xfId="16" applyFont="1" applyBorder="1" applyAlignment="1">
      <alignment horizontal="center" vertical="center"/>
    </xf>
    <xf numFmtId="0" fontId="43" fillId="0" borderId="1" xfId="16" quotePrefix="1" applyFont="1" applyBorder="1" applyAlignment="1">
      <alignment horizontal="center" vertical="center"/>
    </xf>
    <xf numFmtId="0" fontId="43" fillId="0" borderId="1" xfId="16" quotePrefix="1" applyFont="1" applyBorder="1" applyAlignment="1">
      <alignment horizontal="center" vertical="center" wrapText="1"/>
    </xf>
    <xf numFmtId="0" fontId="43" fillId="0" borderId="1" xfId="16" applyFont="1" applyBorder="1" applyAlignment="1">
      <alignment horizontal="center" vertical="center"/>
    </xf>
    <xf numFmtId="0" fontId="11" fillId="0" borderId="0" xfId="16" applyFont="1" applyAlignment="1">
      <alignment vertical="center"/>
    </xf>
    <xf numFmtId="0" fontId="7" fillId="0" borderId="2" xfId="16" applyFont="1" applyBorder="1" applyAlignment="1">
      <alignment vertical="center"/>
    </xf>
    <xf numFmtId="3" fontId="7" fillId="0" borderId="2" xfId="16" applyNumberFormat="1" applyFont="1" applyBorder="1" applyAlignment="1">
      <alignment vertical="center"/>
    </xf>
    <xf numFmtId="0" fontId="7" fillId="0" borderId="0" xfId="16" applyFont="1" applyAlignment="1">
      <alignment vertical="center"/>
    </xf>
    <xf numFmtId="0" fontId="12" fillId="0" borderId="0" xfId="16" applyFont="1" applyAlignment="1">
      <alignment vertical="center"/>
    </xf>
    <xf numFmtId="0" fontId="12" fillId="0" borderId="0" xfId="16" applyFont="1" applyAlignment="1">
      <alignment horizontal="left" vertical="center"/>
    </xf>
    <xf numFmtId="0" fontId="11" fillId="0" borderId="19" xfId="11" applyFont="1" applyBorder="1" applyAlignment="1">
      <alignment vertical="center"/>
    </xf>
    <xf numFmtId="9" fontId="7" fillId="0" borderId="2" xfId="11" applyNumberFormat="1" applyFont="1" applyBorder="1" applyAlignment="1">
      <alignment horizontal="center" vertical="center"/>
    </xf>
    <xf numFmtId="0" fontId="8" fillId="0" borderId="3" xfId="11" applyFont="1" applyBorder="1" applyAlignment="1">
      <alignment vertical="center"/>
    </xf>
    <xf numFmtId="3" fontId="8" fillId="0" borderId="0" xfId="11" applyNumberFormat="1" applyFont="1" applyAlignment="1">
      <alignment vertical="center"/>
    </xf>
    <xf numFmtId="0" fontId="9" fillId="0" borderId="3" xfId="11" applyFont="1" applyBorder="1" applyAlignment="1">
      <alignment horizontal="left" vertical="center" wrapText="1"/>
    </xf>
    <xf numFmtId="0" fontId="45" fillId="0" borderId="3" xfId="11" applyFont="1" applyBorder="1" applyAlignment="1">
      <alignment vertical="center"/>
    </xf>
    <xf numFmtId="165" fontId="7" fillId="0" borderId="3" xfId="11" applyNumberFormat="1" applyFont="1" applyBorder="1" applyAlignment="1">
      <alignment horizontal="center" vertical="center"/>
    </xf>
    <xf numFmtId="165" fontId="8" fillId="0" borderId="3" xfId="11" applyNumberFormat="1" applyFont="1" applyBorder="1" applyAlignment="1">
      <alignment horizontal="center" vertical="center"/>
    </xf>
    <xf numFmtId="165" fontId="9" fillId="0" borderId="3" xfId="11" applyNumberFormat="1" applyFont="1" applyBorder="1" applyAlignment="1">
      <alignment horizontal="center" vertical="center"/>
    </xf>
    <xf numFmtId="0" fontId="7" fillId="0" borderId="4" xfId="11" applyFont="1" applyBorder="1" applyAlignment="1">
      <alignment horizontal="center" vertical="center"/>
    </xf>
    <xf numFmtId="0" fontId="12" fillId="0" borderId="0" xfId="11" applyFont="1" applyAlignment="1">
      <alignment horizontal="center" vertical="center" wrapText="1"/>
    </xf>
    <xf numFmtId="0" fontId="16" fillId="0" borderId="0" xfId="18" applyFont="1" applyAlignment="1">
      <alignment horizontal="centerContinuous" vertical="center"/>
    </xf>
    <xf numFmtId="0" fontId="10" fillId="0" borderId="0" xfId="18" applyFont="1" applyAlignment="1">
      <alignment horizontal="centerContinuous" vertical="center"/>
    </xf>
    <xf numFmtId="0" fontId="10" fillId="0" borderId="0" xfId="18" applyFont="1" applyAlignment="1">
      <alignment vertical="center"/>
    </xf>
    <xf numFmtId="0" fontId="16" fillId="0" borderId="0" xfId="18" quotePrefix="1" applyFont="1" applyAlignment="1">
      <alignment horizontal="centerContinuous" vertical="center"/>
    </xf>
    <xf numFmtId="0" fontId="36" fillId="0" borderId="0" xfId="18" applyFont="1" applyAlignment="1">
      <alignment horizontal="left" vertical="center"/>
    </xf>
    <xf numFmtId="176" fontId="16" fillId="0" borderId="3" xfId="19" applyNumberFormat="1" applyFont="1" applyFill="1" applyBorder="1" applyAlignment="1">
      <alignment horizontal="center" vertical="center"/>
    </xf>
    <xf numFmtId="41" fontId="16" fillId="0" borderId="3" xfId="19" applyNumberFormat="1" applyFont="1" applyFill="1" applyBorder="1" applyAlignment="1">
      <alignment horizontal="right" vertical="center"/>
    </xf>
    <xf numFmtId="176" fontId="24" fillId="0" borderId="3" xfId="19" applyNumberFormat="1" applyFont="1" applyFill="1" applyBorder="1" applyAlignment="1">
      <alignment horizontal="center" vertical="center"/>
    </xf>
    <xf numFmtId="176" fontId="10" fillId="0" borderId="3" xfId="19" applyNumberFormat="1" applyFont="1" applyFill="1" applyBorder="1" applyAlignment="1">
      <alignment horizontal="center" vertical="center"/>
    </xf>
    <xf numFmtId="41" fontId="49" fillId="0" borderId="3" xfId="19" applyNumberFormat="1" applyFont="1" applyFill="1" applyBorder="1" applyAlignment="1">
      <alignment horizontal="right" vertical="center"/>
    </xf>
    <xf numFmtId="41" fontId="50" fillId="0" borderId="3" xfId="19" applyNumberFormat="1" applyFont="1" applyFill="1" applyBorder="1" applyAlignment="1">
      <alignment horizontal="right" vertical="center"/>
    </xf>
    <xf numFmtId="0" fontId="6" fillId="0" borderId="30" xfId="16" applyFont="1" applyBorder="1" applyAlignment="1">
      <alignment vertical="center"/>
    </xf>
    <xf numFmtId="0" fontId="10" fillId="0" borderId="30" xfId="16" applyFont="1" applyBorder="1" applyAlignment="1">
      <alignment vertical="center"/>
    </xf>
    <xf numFmtId="0" fontId="11" fillId="0" borderId="1" xfId="16" quotePrefix="1" applyFont="1" applyBorder="1" applyAlignment="1">
      <alignment horizontal="center" vertical="center"/>
    </xf>
    <xf numFmtId="0" fontId="11" fillId="0" borderId="5" xfId="16" quotePrefix="1" applyFont="1" applyBorder="1" applyAlignment="1">
      <alignment horizontal="center" vertical="center"/>
    </xf>
    <xf numFmtId="0" fontId="11" fillId="0" borderId="30" xfId="16" applyFont="1" applyBorder="1" applyAlignment="1">
      <alignment vertical="center"/>
    </xf>
    <xf numFmtId="0" fontId="7" fillId="2" borderId="2" xfId="16" applyFont="1" applyFill="1" applyBorder="1" applyAlignment="1">
      <alignment horizontal="center" vertical="center"/>
    </xf>
    <xf numFmtId="0" fontId="7" fillId="2" borderId="2" xfId="16" applyFont="1" applyFill="1" applyBorder="1" applyAlignment="1">
      <alignment vertical="center"/>
    </xf>
    <xf numFmtId="168" fontId="5" fillId="2" borderId="2" xfId="5" applyNumberFormat="1" applyFont="1" applyFill="1" applyBorder="1" applyAlignment="1">
      <alignment vertical="center"/>
    </xf>
    <xf numFmtId="0" fontId="7" fillId="2" borderId="30" xfId="16" applyFont="1" applyFill="1" applyBorder="1" applyAlignment="1">
      <alignment vertical="center"/>
    </xf>
    <xf numFmtId="0" fontId="7" fillId="2" borderId="0" xfId="16" applyFont="1" applyFill="1" applyAlignment="1">
      <alignment vertical="center"/>
    </xf>
    <xf numFmtId="0" fontId="6" fillId="2" borderId="3" xfId="16" applyFont="1" applyFill="1" applyBorder="1" applyAlignment="1">
      <alignment horizontal="center" vertical="center"/>
    </xf>
    <xf numFmtId="0" fontId="6" fillId="2" borderId="3" xfId="16" applyFont="1" applyFill="1" applyBorder="1" applyAlignment="1" applyProtection="1">
      <alignment horizontal="left" vertical="center" wrapText="1"/>
      <protection locked="0"/>
    </xf>
    <xf numFmtId="0" fontId="5" fillId="2" borderId="30" xfId="16" applyFont="1" applyFill="1" applyBorder="1" applyAlignment="1">
      <alignment vertical="center"/>
    </xf>
    <xf numFmtId="0" fontId="5" fillId="2" borderId="0" xfId="16" applyFont="1" applyFill="1" applyAlignment="1">
      <alignment vertical="center"/>
    </xf>
    <xf numFmtId="0" fontId="6" fillId="2" borderId="30" xfId="16" applyFont="1" applyFill="1" applyBorder="1" applyAlignment="1">
      <alignment vertical="center"/>
    </xf>
    <xf numFmtId="0" fontId="6" fillId="2" borderId="0" xfId="16" applyFont="1" applyFill="1" applyAlignment="1">
      <alignment vertical="center"/>
    </xf>
    <xf numFmtId="0" fontId="6" fillId="2" borderId="3" xfId="16" applyFont="1" applyFill="1" applyBorder="1" applyAlignment="1">
      <alignment vertical="center" wrapText="1"/>
    </xf>
    <xf numFmtId="3" fontId="6" fillId="2" borderId="3" xfId="8" applyNumberFormat="1" applyFont="1" applyFill="1" applyBorder="1" applyAlignment="1">
      <alignment vertical="center" wrapText="1"/>
    </xf>
    <xf numFmtId="0" fontId="6" fillId="2" borderId="3" xfId="8" applyFont="1" applyFill="1" applyBorder="1" applyAlignment="1">
      <alignment vertical="center" wrapText="1"/>
    </xf>
    <xf numFmtId="168" fontId="6" fillId="2" borderId="3" xfId="19" applyNumberFormat="1" applyFont="1" applyFill="1" applyBorder="1" applyAlignment="1">
      <alignment horizontal="left" vertical="center" wrapText="1"/>
    </xf>
    <xf numFmtId="0" fontId="6" fillId="2" borderId="4" xfId="16" applyFont="1" applyFill="1" applyBorder="1" applyAlignment="1">
      <alignment horizontal="center" vertical="center"/>
    </xf>
    <xf numFmtId="168" fontId="6" fillId="2" borderId="4" xfId="19" applyNumberFormat="1" applyFont="1" applyFill="1" applyBorder="1" applyAlignment="1">
      <alignment horizontal="left" vertical="center" wrapText="1"/>
    </xf>
    <xf numFmtId="168" fontId="6" fillId="2" borderId="4" xfId="5" applyNumberFormat="1" applyFont="1" applyFill="1" applyBorder="1" applyAlignment="1">
      <alignment vertical="center"/>
    </xf>
    <xf numFmtId="0" fontId="6" fillId="2" borderId="12" xfId="16" applyFont="1" applyFill="1" applyBorder="1" applyAlignment="1">
      <alignment horizontal="center" vertical="center"/>
    </xf>
    <xf numFmtId="168" fontId="6" fillId="2" borderId="12" xfId="19" applyNumberFormat="1" applyFont="1" applyFill="1" applyBorder="1" applyAlignment="1">
      <alignment horizontal="left" vertical="center" wrapText="1"/>
    </xf>
    <xf numFmtId="168" fontId="6" fillId="2" borderId="12" xfId="5" applyNumberFormat="1" applyFont="1" applyFill="1" applyBorder="1" applyAlignment="1">
      <alignment vertical="center"/>
    </xf>
    <xf numFmtId="168" fontId="6" fillId="0" borderId="0" xfId="16" applyNumberFormat="1" applyFont="1" applyAlignment="1">
      <alignment vertical="center"/>
    </xf>
    <xf numFmtId="168" fontId="5" fillId="0" borderId="31" xfId="5" applyNumberFormat="1" applyFont="1" applyBorder="1" applyAlignment="1">
      <alignment vertical="center"/>
    </xf>
    <xf numFmtId="168" fontId="5" fillId="2" borderId="29" xfId="5" applyNumberFormat="1" applyFont="1" applyFill="1" applyBorder="1" applyAlignment="1">
      <alignment vertical="center"/>
    </xf>
    <xf numFmtId="168" fontId="6" fillId="2" borderId="29" xfId="5" applyNumberFormat="1" applyFont="1" applyFill="1" applyBorder="1" applyAlignment="1">
      <alignment vertical="center"/>
    </xf>
    <xf numFmtId="3" fontId="6" fillId="0" borderId="29" xfId="8" applyNumberFormat="1" applyFont="1" applyBorder="1" applyAlignment="1">
      <alignment horizontal="left" vertical="center" wrapText="1"/>
    </xf>
    <xf numFmtId="168" fontId="5" fillId="2" borderId="32" xfId="5" applyNumberFormat="1" applyFont="1" applyFill="1" applyBorder="1" applyAlignment="1">
      <alignment vertical="center"/>
    </xf>
    <xf numFmtId="168" fontId="38" fillId="0" borderId="3" xfId="5" applyNumberFormat="1" applyFont="1" applyFill="1" applyBorder="1" applyAlignment="1">
      <alignment horizontal="center" vertical="center" wrapText="1"/>
    </xf>
    <xf numFmtId="176" fontId="9" fillId="0" borderId="0" xfId="30" applyNumberFormat="1" applyFont="1" applyAlignment="1">
      <alignment vertical="center"/>
    </xf>
    <xf numFmtId="0" fontId="5" fillId="0" borderId="0" xfId="18" applyFont="1" applyAlignment="1">
      <alignment horizontal="centerContinuous" vertical="center"/>
    </xf>
    <xf numFmtId="0" fontId="5" fillId="0" borderId="0" xfId="18" applyFont="1" applyAlignment="1">
      <alignment horizontal="centerContinuous" vertical="center" wrapText="1"/>
    </xf>
    <xf numFmtId="0" fontId="6" fillId="0" borderId="0" xfId="18" applyFont="1" applyAlignment="1">
      <alignment horizontal="centerContinuous" vertical="center"/>
    </xf>
    <xf numFmtId="0" fontId="7" fillId="0" borderId="0" xfId="18" applyFont="1" applyAlignment="1">
      <alignment horizontal="centerContinuous" vertical="center"/>
    </xf>
    <xf numFmtId="0" fontId="7" fillId="0" borderId="0" xfId="18" applyFont="1" applyAlignment="1">
      <alignment horizontal="right" vertical="center"/>
    </xf>
    <xf numFmtId="0" fontId="6" fillId="0" borderId="0" xfId="18" applyFont="1" applyAlignment="1">
      <alignment vertical="center"/>
    </xf>
    <xf numFmtId="0" fontId="7" fillId="0" borderId="0" xfId="31" applyFont="1" applyAlignment="1">
      <alignment vertical="center" wrapText="1"/>
    </xf>
    <xf numFmtId="0" fontId="8" fillId="0" borderId="0" xfId="18" applyFont="1" applyAlignment="1">
      <alignment horizontal="left" vertical="center"/>
    </xf>
    <xf numFmtId="0" fontId="8" fillId="0" borderId="0" xfId="18" applyFont="1" applyAlignment="1">
      <alignment horizontal="left" vertical="center" wrapText="1"/>
    </xf>
    <xf numFmtId="0" fontId="9" fillId="0" borderId="0" xfId="18" applyFont="1" applyAlignment="1">
      <alignment vertical="center"/>
    </xf>
    <xf numFmtId="0" fontId="8" fillId="0" borderId="0" xfId="18" applyFont="1" applyAlignment="1">
      <alignment horizontal="center" vertical="center"/>
    </xf>
    <xf numFmtId="0" fontId="11" fillId="0" borderId="1" xfId="18" applyFont="1" applyBorder="1" applyAlignment="1">
      <alignment horizontal="center" vertical="center"/>
    </xf>
    <xf numFmtId="0" fontId="11" fillId="0" borderId="1" xfId="18" applyFont="1" applyBorder="1" applyAlignment="1">
      <alignment horizontal="center" vertical="center" wrapText="1"/>
    </xf>
    <xf numFmtId="0" fontId="43" fillId="0" borderId="1" xfId="18" quotePrefix="1" applyFont="1" applyBorder="1" applyAlignment="1">
      <alignment horizontal="center" vertical="center"/>
    </xf>
    <xf numFmtId="0" fontId="11" fillId="0" borderId="0" xfId="18" applyFont="1" applyAlignment="1">
      <alignment vertical="center"/>
    </xf>
    <xf numFmtId="0" fontId="7" fillId="0" borderId="33" xfId="18" applyFont="1" applyBorder="1" applyAlignment="1">
      <alignment horizontal="center" vertical="center"/>
    </xf>
    <xf numFmtId="0" fontId="7" fillId="0" borderId="18" xfId="18" applyFont="1" applyBorder="1" applyAlignment="1">
      <alignment vertical="center" wrapText="1"/>
    </xf>
    <xf numFmtId="3" fontId="9" fillId="0" borderId="11" xfId="18" applyNumberFormat="1" applyFont="1" applyBorder="1" applyAlignment="1">
      <alignment vertical="center"/>
    </xf>
    <xf numFmtId="3" fontId="9" fillId="0" borderId="34" xfId="18" applyNumberFormat="1" applyFont="1" applyBorder="1" applyAlignment="1">
      <alignment vertical="center"/>
    </xf>
    <xf numFmtId="0" fontId="9" fillId="0" borderId="35" xfId="18" applyFont="1" applyBorder="1" applyAlignment="1">
      <alignment vertical="center"/>
    </xf>
    <xf numFmtId="0" fontId="9" fillId="0" borderId="36" xfId="18" applyFont="1" applyBorder="1" applyAlignment="1">
      <alignment vertical="center" wrapText="1"/>
    </xf>
    <xf numFmtId="0" fontId="9" fillId="0" borderId="37" xfId="18" applyFont="1" applyBorder="1" applyAlignment="1">
      <alignment vertical="center"/>
    </xf>
    <xf numFmtId="0" fontId="9" fillId="0" borderId="38" xfId="18" applyFont="1" applyBorder="1" applyAlignment="1">
      <alignment vertical="center"/>
    </xf>
    <xf numFmtId="0" fontId="12" fillId="0" borderId="0" xfId="18" applyFont="1" applyAlignment="1">
      <alignment horizontal="left" vertical="center"/>
    </xf>
    <xf numFmtId="0" fontId="6" fillId="0" borderId="0" xfId="18" applyFont="1" applyAlignment="1">
      <alignment vertical="center" wrapText="1"/>
    </xf>
    <xf numFmtId="0" fontId="9" fillId="0" borderId="0" xfId="18" applyFont="1" applyAlignment="1">
      <alignment vertical="center" wrapText="1"/>
    </xf>
    <xf numFmtId="0" fontId="35" fillId="0" borderId="0" xfId="18" applyFont="1" applyAlignment="1">
      <alignment vertical="center"/>
    </xf>
    <xf numFmtId="0" fontId="7" fillId="0" borderId="2" xfId="18" applyFont="1" applyBorder="1" applyAlignment="1">
      <alignment horizontal="center" vertical="center"/>
    </xf>
    <xf numFmtId="0" fontId="7" fillId="0" borderId="2" xfId="18" applyFont="1" applyBorder="1" applyAlignment="1">
      <alignment vertical="center"/>
    </xf>
    <xf numFmtId="3" fontId="7" fillId="0" borderId="2" xfId="18" applyNumberFormat="1" applyFont="1" applyBorder="1" applyAlignment="1">
      <alignment vertical="center"/>
    </xf>
    <xf numFmtId="3" fontId="9" fillId="0" borderId="0" xfId="18" applyNumberFormat="1" applyFont="1" applyAlignment="1">
      <alignment vertical="center"/>
    </xf>
    <xf numFmtId="0" fontId="9" fillId="0" borderId="3" xfId="18" applyFont="1" applyBorder="1" applyAlignment="1">
      <alignment horizontal="center" vertical="center"/>
    </xf>
    <xf numFmtId="0" fontId="9" fillId="0" borderId="3" xfId="18" applyFont="1" applyBorder="1" applyAlignment="1">
      <alignment vertical="center"/>
    </xf>
    <xf numFmtId="3" fontId="9" fillId="0" borderId="3" xfId="18" applyNumberFormat="1" applyFont="1" applyBorder="1" applyAlignment="1">
      <alignment vertical="center"/>
    </xf>
    <xf numFmtId="0" fontId="9" fillId="0" borderId="4" xfId="18" applyFont="1" applyBorder="1" applyAlignment="1">
      <alignment vertical="center"/>
    </xf>
    <xf numFmtId="0" fontId="12" fillId="0" borderId="0" xfId="18" applyFont="1" applyAlignment="1">
      <alignment vertical="center"/>
    </xf>
    <xf numFmtId="0" fontId="7" fillId="0" borderId="0" xfId="18" quotePrefix="1" applyFont="1" applyAlignment="1">
      <alignment horizontal="centerContinuous" vertical="center"/>
    </xf>
    <xf numFmtId="0" fontId="7" fillId="0" borderId="0" xfId="18" applyFont="1" applyAlignment="1">
      <alignment vertical="center"/>
    </xf>
    <xf numFmtId="0" fontId="7" fillId="0" borderId="0" xfId="18" applyFont="1" applyAlignment="1">
      <alignment vertical="center" wrapText="1"/>
    </xf>
    <xf numFmtId="0" fontId="8" fillId="0" borderId="0" xfId="18" applyFont="1" applyAlignment="1">
      <alignment vertical="center"/>
    </xf>
    <xf numFmtId="0" fontId="8" fillId="0" borderId="19" xfId="18" applyFont="1" applyBorder="1" applyAlignment="1">
      <alignment vertical="center"/>
    </xf>
    <xf numFmtId="3" fontId="35" fillId="0" borderId="0" xfId="18" applyNumberFormat="1" applyFont="1" applyAlignment="1">
      <alignment vertical="center"/>
    </xf>
    <xf numFmtId="0" fontId="44" fillId="0" borderId="0" xfId="18" applyFont="1" applyAlignment="1">
      <alignment horizontal="left" vertical="center"/>
    </xf>
    <xf numFmtId="3" fontId="9" fillId="0" borderId="4" xfId="0" applyNumberFormat="1" applyFont="1" applyBorder="1" applyAlignment="1">
      <alignment vertical="center"/>
    </xf>
    <xf numFmtId="0" fontId="16" fillId="0" borderId="21" xfId="0" applyFont="1" applyBorder="1" applyAlignment="1">
      <alignment horizontal="center" vertical="center" wrapText="1"/>
    </xf>
    <xf numFmtId="0" fontId="10" fillId="0" borderId="21" xfId="0" applyFont="1" applyBorder="1" applyAlignment="1">
      <alignment horizontal="center" vertical="center" wrapText="1"/>
    </xf>
    <xf numFmtId="0" fontId="16" fillId="0" borderId="22" xfId="0" applyFont="1" applyBorder="1" applyAlignment="1">
      <alignment vertical="center" wrapText="1"/>
    </xf>
    <xf numFmtId="0" fontId="16" fillId="0" borderId="22" xfId="0" applyFont="1" applyBorder="1" applyAlignment="1">
      <alignment horizontal="center" vertical="center" wrapText="1"/>
    </xf>
    <xf numFmtId="3" fontId="16" fillId="0" borderId="22" xfId="0" applyNumberFormat="1" applyFont="1" applyBorder="1" applyAlignment="1">
      <alignment horizontal="right" vertical="center" wrapText="1"/>
    </xf>
    <xf numFmtId="0" fontId="10" fillId="0" borderId="14" xfId="0" applyFont="1" applyBorder="1" applyAlignment="1">
      <alignment horizontal="center" vertical="center" wrapText="1"/>
    </xf>
    <xf numFmtId="0" fontId="10" fillId="0" borderId="14" xfId="0" applyFont="1" applyBorder="1" applyAlignment="1">
      <alignment vertical="center" wrapText="1"/>
    </xf>
    <xf numFmtId="3" fontId="10" fillId="0" borderId="14" xfId="0" applyNumberFormat="1" applyFont="1" applyBorder="1" applyAlignment="1">
      <alignment horizontal="right" vertical="center" wrapText="1"/>
    </xf>
    <xf numFmtId="0" fontId="16" fillId="0" borderId="0" xfId="18" applyFont="1" applyAlignment="1">
      <alignment vertical="center"/>
    </xf>
    <xf numFmtId="0" fontId="10" fillId="0" borderId="23" xfId="0" applyFont="1" applyBorder="1" applyAlignment="1">
      <alignment horizontal="center" vertical="center" wrapText="1"/>
    </xf>
    <xf numFmtId="0" fontId="10" fillId="0" borderId="23" xfId="0" applyFont="1" applyBorder="1" applyAlignment="1">
      <alignment vertical="center" wrapText="1"/>
    </xf>
    <xf numFmtId="3" fontId="10" fillId="0" borderId="23" xfId="0" applyNumberFormat="1" applyFont="1" applyBorder="1" applyAlignment="1">
      <alignment vertical="center" wrapText="1"/>
    </xf>
    <xf numFmtId="3" fontId="10" fillId="0" borderId="24" xfId="0" applyNumberFormat="1" applyFont="1" applyBorder="1" applyAlignment="1">
      <alignment vertical="center" wrapText="1"/>
    </xf>
    <xf numFmtId="0" fontId="36" fillId="0" borderId="0" xfId="0" applyFont="1" applyAlignment="1">
      <alignment vertical="center"/>
    </xf>
    <xf numFmtId="0" fontId="63" fillId="0" borderId="0" xfId="18" applyFont="1" applyAlignment="1">
      <alignment horizontal="left" vertical="center"/>
    </xf>
    <xf numFmtId="0" fontId="5" fillId="0" borderId="0" xfId="17" applyFont="1" applyAlignment="1">
      <alignment vertical="center"/>
    </xf>
    <xf numFmtId="0" fontId="56" fillId="0" borderId="0" xfId="17" applyFont="1" applyAlignment="1">
      <alignment vertical="center"/>
    </xf>
    <xf numFmtId="0" fontId="6" fillId="0" borderId="0" xfId="17" applyFont="1" applyAlignment="1">
      <alignment vertical="center"/>
    </xf>
    <xf numFmtId="0" fontId="64" fillId="0" borderId="0" xfId="17" applyFont="1" applyAlignment="1">
      <alignment vertical="center"/>
    </xf>
    <xf numFmtId="0" fontId="7" fillId="0" borderId="0" xfId="17" applyFont="1" applyAlignment="1">
      <alignment horizontal="right" vertical="center"/>
    </xf>
    <xf numFmtId="175" fontId="27" fillId="0" borderId="0" xfId="17" applyNumberFormat="1" applyFont="1" applyAlignment="1">
      <alignment horizontal="right" vertical="center"/>
    </xf>
    <xf numFmtId="175" fontId="8" fillId="0" borderId="0" xfId="17" applyNumberFormat="1" applyFont="1" applyAlignment="1">
      <alignment horizontal="right" vertical="center"/>
    </xf>
    <xf numFmtId="0" fontId="7" fillId="0" borderId="1" xfId="17" applyFont="1" applyBorder="1" applyAlignment="1">
      <alignment horizontal="center" vertical="center" wrapText="1"/>
    </xf>
    <xf numFmtId="0" fontId="7" fillId="0" borderId="0" xfId="17" applyFont="1" applyAlignment="1">
      <alignment vertical="center"/>
    </xf>
    <xf numFmtId="175" fontId="7" fillId="0" borderId="2" xfId="17" applyNumberFormat="1" applyFont="1" applyBorder="1" applyAlignment="1">
      <alignment horizontal="center" vertical="center"/>
    </xf>
    <xf numFmtId="168" fontId="7" fillId="0" borderId="2" xfId="5" applyNumberFormat="1" applyFont="1" applyFill="1" applyBorder="1" applyAlignment="1">
      <alignment horizontal="center" vertical="center"/>
    </xf>
    <xf numFmtId="173" fontId="7" fillId="0" borderId="2" xfId="5" applyNumberFormat="1" applyFont="1" applyFill="1" applyBorder="1" applyAlignment="1">
      <alignment horizontal="center" vertical="center"/>
    </xf>
    <xf numFmtId="175" fontId="11" fillId="0" borderId="0" xfId="17" applyNumberFormat="1" applyFont="1" applyAlignment="1">
      <alignment horizontal="center" vertical="center" wrapText="1"/>
    </xf>
    <xf numFmtId="175" fontId="11" fillId="0" borderId="0" xfId="17" applyNumberFormat="1" applyFont="1" applyAlignment="1">
      <alignment vertical="center" wrapText="1"/>
    </xf>
    <xf numFmtId="175" fontId="9" fillId="0" borderId="3" xfId="17" applyNumberFormat="1" applyFont="1" applyBorder="1" applyAlignment="1">
      <alignment horizontal="center" vertical="center"/>
    </xf>
    <xf numFmtId="175" fontId="9" fillId="0" borderId="3" xfId="17" applyNumberFormat="1" applyFont="1" applyBorder="1" applyAlignment="1">
      <alignment horizontal="left" vertical="center" wrapText="1"/>
    </xf>
    <xf numFmtId="168" fontId="9" fillId="0" borderId="3" xfId="5" applyNumberFormat="1" applyFont="1" applyFill="1" applyBorder="1" applyAlignment="1">
      <alignment horizontal="center" vertical="center"/>
    </xf>
    <xf numFmtId="175" fontId="8" fillId="0" borderId="3" xfId="17" quotePrefix="1" applyNumberFormat="1" applyFont="1" applyBorder="1" applyAlignment="1">
      <alignment horizontal="center" vertical="center"/>
    </xf>
    <xf numFmtId="175" fontId="8" fillId="0" borderId="3" xfId="17" applyNumberFormat="1" applyFont="1" applyBorder="1" applyAlignment="1">
      <alignment horizontal="left" vertical="center" wrapText="1"/>
    </xf>
    <xf numFmtId="168" fontId="8" fillId="0" borderId="3" xfId="5" applyNumberFormat="1" applyFont="1" applyFill="1" applyBorder="1" applyAlignment="1">
      <alignment horizontal="center" vertical="center"/>
    </xf>
    <xf numFmtId="173" fontId="8" fillId="0" borderId="3" xfId="5" applyNumberFormat="1" applyFont="1" applyFill="1" applyBorder="1" applyAlignment="1">
      <alignment horizontal="center" vertical="center"/>
    </xf>
    <xf numFmtId="0" fontId="27" fillId="0" borderId="0" xfId="17" applyFont="1" applyAlignment="1">
      <alignment vertical="center"/>
    </xf>
    <xf numFmtId="175" fontId="8" fillId="0" borderId="3" xfId="17" applyNumberFormat="1" applyFont="1" applyBorder="1" applyAlignment="1">
      <alignment horizontal="center" vertical="center"/>
    </xf>
    <xf numFmtId="175" fontId="9" fillId="0" borderId="3" xfId="17" quotePrefix="1" applyNumberFormat="1" applyFont="1" applyBorder="1" applyAlignment="1">
      <alignment horizontal="center" vertical="center"/>
    </xf>
    <xf numFmtId="168" fontId="9" fillId="0" borderId="3" xfId="5" applyNumberFormat="1" applyFont="1" applyFill="1" applyBorder="1" applyAlignment="1">
      <alignment vertical="center"/>
    </xf>
    <xf numFmtId="173" fontId="9" fillId="0" borderId="3" xfId="5" applyNumberFormat="1" applyFont="1" applyFill="1" applyBorder="1" applyAlignment="1">
      <alignment vertical="center"/>
    </xf>
    <xf numFmtId="173" fontId="9" fillId="0" borderId="3" xfId="5" applyNumberFormat="1" applyFont="1" applyFill="1" applyBorder="1" applyAlignment="1">
      <alignment horizontal="center" vertical="center"/>
    </xf>
    <xf numFmtId="175" fontId="9" fillId="2" borderId="3" xfId="17" applyNumberFormat="1" applyFont="1" applyFill="1" applyBorder="1" applyAlignment="1">
      <alignment horizontal="center" vertical="center"/>
    </xf>
    <xf numFmtId="175" fontId="9" fillId="2" borderId="3" xfId="17" applyNumberFormat="1" applyFont="1" applyFill="1" applyBorder="1" applyAlignment="1">
      <alignment horizontal="left" vertical="center" wrapText="1"/>
    </xf>
    <xf numFmtId="168" fontId="9" fillId="2" borderId="3" xfId="5" applyNumberFormat="1" applyFont="1" applyFill="1" applyBorder="1" applyAlignment="1">
      <alignment horizontal="center" vertical="center"/>
    </xf>
    <xf numFmtId="173" fontId="9" fillId="2" borderId="3" xfId="5" applyNumberFormat="1" applyFont="1" applyFill="1" applyBorder="1" applyAlignment="1">
      <alignment horizontal="center" vertical="center"/>
    </xf>
    <xf numFmtId="168" fontId="9" fillId="0" borderId="3" xfId="5" quotePrefix="1" applyNumberFormat="1" applyFont="1" applyFill="1" applyBorder="1" applyAlignment="1">
      <alignment horizontal="center" vertical="center"/>
    </xf>
    <xf numFmtId="168" fontId="9" fillId="0" borderId="3" xfId="5" applyNumberFormat="1" applyFont="1" applyFill="1" applyBorder="1" applyAlignment="1" applyProtection="1">
      <alignment horizontal="left" vertical="center"/>
    </xf>
    <xf numFmtId="173" fontId="9" fillId="0" borderId="3" xfId="5" quotePrefix="1" applyNumberFormat="1" applyFont="1" applyFill="1" applyBorder="1" applyAlignment="1">
      <alignment horizontal="center" vertical="center"/>
    </xf>
    <xf numFmtId="0" fontId="6" fillId="0" borderId="0" xfId="17" applyFont="1" applyAlignment="1">
      <alignment vertical="center" wrapText="1"/>
    </xf>
    <xf numFmtId="0" fontId="9" fillId="0" borderId="3" xfId="18" quotePrefix="1" applyFont="1" applyBorder="1" applyAlignment="1">
      <alignment horizontal="center" vertical="center"/>
    </xf>
    <xf numFmtId="0" fontId="9" fillId="0" borderId="3" xfId="18" applyFont="1" applyBorder="1" applyAlignment="1">
      <alignment vertical="center" wrapText="1"/>
    </xf>
    <xf numFmtId="168" fontId="9" fillId="0" borderId="3" xfId="5" applyNumberFormat="1" applyFont="1" applyBorder="1" applyAlignment="1">
      <alignment horizontal="right" vertical="center"/>
    </xf>
    <xf numFmtId="0" fontId="65" fillId="0" borderId="3" xfId="18" applyFont="1" applyBorder="1" applyAlignment="1">
      <alignment vertical="center" wrapText="1"/>
    </xf>
    <xf numFmtId="175" fontId="6" fillId="0" borderId="4" xfId="17" applyNumberFormat="1" applyFont="1" applyBorder="1" applyAlignment="1">
      <alignment horizontal="justify" vertical="center"/>
    </xf>
    <xf numFmtId="175" fontId="9" fillId="0" borderId="4" xfId="17" applyNumberFormat="1" applyFont="1" applyBorder="1" applyAlignment="1">
      <alignment horizontal="justify" vertical="center" wrapText="1"/>
    </xf>
    <xf numFmtId="0" fontId="6" fillId="0" borderId="4" xfId="17" applyFont="1" applyBorder="1" applyAlignment="1">
      <alignment vertical="center"/>
    </xf>
    <xf numFmtId="0" fontId="5" fillId="0" borderId="0" xfId="17" applyFont="1" applyAlignment="1">
      <alignment horizontal="right" vertical="center"/>
    </xf>
    <xf numFmtId="0" fontId="6" fillId="0" borderId="0" xfId="17" applyFont="1"/>
    <xf numFmtId="0" fontId="5" fillId="0" borderId="0" xfId="18" applyFont="1" applyAlignment="1">
      <alignment horizontal="center"/>
    </xf>
    <xf numFmtId="0" fontId="5" fillId="0" borderId="0" xfId="18" applyFont="1"/>
    <xf numFmtId="175" fontId="12" fillId="0" borderId="0" xfId="17" applyNumberFormat="1" applyFont="1" applyAlignment="1">
      <alignment horizontal="right" vertical="center"/>
    </xf>
    <xf numFmtId="175" fontId="5" fillId="0" borderId="1" xfId="17" applyNumberFormat="1" applyFont="1" applyBorder="1" applyAlignment="1">
      <alignment horizontal="center" vertical="center" wrapText="1"/>
    </xf>
    <xf numFmtId="0" fontId="5" fillId="0" borderId="1" xfId="17" applyFont="1" applyBorder="1" applyAlignment="1">
      <alignment horizontal="center" vertical="center" wrapText="1"/>
    </xf>
    <xf numFmtId="0" fontId="5" fillId="0" borderId="0" xfId="17" applyFont="1"/>
    <xf numFmtId="175" fontId="5" fillId="0" borderId="2" xfId="17" applyNumberFormat="1" applyFont="1" applyBorder="1" applyAlignment="1">
      <alignment horizontal="center" vertical="center"/>
    </xf>
    <xf numFmtId="168" fontId="5" fillId="0" borderId="2" xfId="5" applyNumberFormat="1" applyFont="1" applyFill="1" applyBorder="1" applyAlignment="1">
      <alignment horizontal="center" vertical="center"/>
    </xf>
    <xf numFmtId="173" fontId="5" fillId="0" borderId="2" xfId="5" applyNumberFormat="1" applyFont="1" applyFill="1" applyBorder="1" applyAlignment="1">
      <alignment vertical="center"/>
    </xf>
    <xf numFmtId="175" fontId="5" fillId="0" borderId="0" xfId="17" applyNumberFormat="1" applyFont="1" applyAlignment="1">
      <alignment horizontal="center" vertical="center" wrapText="1"/>
    </xf>
    <xf numFmtId="175" fontId="5" fillId="0" borderId="0" xfId="17" applyNumberFormat="1" applyFont="1" applyAlignment="1">
      <alignment vertical="center" wrapText="1"/>
    </xf>
    <xf numFmtId="175" fontId="6" fillId="0" borderId="3" xfId="17" applyNumberFormat="1" applyFont="1" applyBorder="1" applyAlignment="1">
      <alignment horizontal="center" vertical="center"/>
    </xf>
    <xf numFmtId="175" fontId="6" fillId="0" borderId="3" xfId="17" applyNumberFormat="1" applyFont="1" applyBorder="1" applyAlignment="1">
      <alignment horizontal="left" vertical="center"/>
    </xf>
    <xf numFmtId="168" fontId="6" fillId="0" borderId="3" xfId="5" applyNumberFormat="1" applyFont="1" applyFill="1" applyBorder="1" applyAlignment="1">
      <alignment horizontal="center" vertical="center"/>
    </xf>
    <xf numFmtId="175" fontId="12" fillId="0" borderId="3" xfId="17" quotePrefix="1" applyNumberFormat="1" applyFont="1" applyBorder="1" applyAlignment="1">
      <alignment horizontal="center" vertical="center"/>
    </xf>
    <xf numFmtId="175" fontId="12" fillId="0" borderId="3" xfId="17" applyNumberFormat="1" applyFont="1" applyBorder="1" applyAlignment="1">
      <alignment horizontal="left" vertical="center"/>
    </xf>
    <xf numFmtId="168" fontId="12" fillId="0" borderId="3" xfId="5" applyNumberFormat="1" applyFont="1" applyFill="1" applyBorder="1" applyAlignment="1">
      <alignment horizontal="center" vertical="center"/>
    </xf>
    <xf numFmtId="175" fontId="12" fillId="0" borderId="3" xfId="17" applyNumberFormat="1" applyFont="1" applyBorder="1" applyAlignment="1">
      <alignment horizontal="center" vertical="center"/>
    </xf>
    <xf numFmtId="0" fontId="12" fillId="0" borderId="0" xfId="17" applyFont="1"/>
    <xf numFmtId="175" fontId="6" fillId="0" borderId="3" xfId="17" quotePrefix="1" applyNumberFormat="1" applyFont="1" applyBorder="1" applyAlignment="1">
      <alignment horizontal="center" vertical="center"/>
    </xf>
    <xf numFmtId="168" fontId="6" fillId="0" borderId="3" xfId="5" applyNumberFormat="1" applyFont="1" applyFill="1" applyBorder="1"/>
    <xf numFmtId="175" fontId="6" fillId="2" borderId="3" xfId="17" applyNumberFormat="1" applyFont="1" applyFill="1" applyBorder="1" applyAlignment="1">
      <alignment horizontal="center" vertical="center"/>
    </xf>
    <xf numFmtId="175" fontId="6" fillId="2" borderId="3" xfId="17" applyNumberFormat="1" applyFont="1" applyFill="1" applyBorder="1" applyAlignment="1">
      <alignment horizontal="left" vertical="center"/>
    </xf>
    <xf numFmtId="168" fontId="6" fillId="2" borderId="3" xfId="5" applyNumberFormat="1" applyFont="1" applyFill="1" applyBorder="1" applyAlignment="1">
      <alignment horizontal="center" vertical="center"/>
    </xf>
    <xf numFmtId="168" fontId="6" fillId="0" borderId="3" xfId="5" quotePrefix="1" applyNumberFormat="1" applyFont="1" applyFill="1" applyBorder="1" applyAlignment="1">
      <alignment horizontal="center" vertical="center"/>
    </xf>
    <xf numFmtId="0" fontId="6" fillId="0" borderId="3" xfId="18" quotePrefix="1" applyFont="1" applyBorder="1" applyAlignment="1">
      <alignment horizontal="center"/>
    </xf>
    <xf numFmtId="0" fontId="6" fillId="0" borderId="3" xfId="18" applyFont="1" applyBorder="1"/>
    <xf numFmtId="168" fontId="6" fillId="0" borderId="3" xfId="5" applyNumberFormat="1" applyFont="1" applyBorder="1" applyAlignment="1">
      <alignment horizontal="right"/>
    </xf>
    <xf numFmtId="0" fontId="54" fillId="0" borderId="3" xfId="18" applyFont="1" applyBorder="1"/>
    <xf numFmtId="0" fontId="6" fillId="0" borderId="4" xfId="17" applyFont="1" applyBorder="1"/>
    <xf numFmtId="0" fontId="7" fillId="0" borderId="1" xfId="11" applyFont="1" applyBorder="1" applyAlignment="1">
      <alignment horizontal="center" vertical="center"/>
    </xf>
    <xf numFmtId="0" fontId="7" fillId="0" borderId="0" xfId="15" applyFont="1" applyAlignment="1">
      <alignment horizontal="left" vertical="center"/>
    </xf>
    <xf numFmtId="0" fontId="23" fillId="0" borderId="0" xfId="15" applyFont="1" applyAlignment="1">
      <alignment horizontal="left" vertical="center"/>
    </xf>
    <xf numFmtId="0" fontId="9" fillId="0" borderId="0" xfId="15" applyFont="1" applyAlignment="1">
      <alignment vertical="center"/>
    </xf>
    <xf numFmtId="3" fontId="9" fillId="0" borderId="0" xfId="15" applyNumberFormat="1" applyFont="1" applyAlignment="1">
      <alignment vertical="center"/>
    </xf>
    <xf numFmtId="0" fontId="25" fillId="0" borderId="1" xfId="15" applyFont="1" applyBorder="1" applyAlignment="1">
      <alignment horizontal="center" vertical="center"/>
    </xf>
    <xf numFmtId="0" fontId="11" fillId="0" borderId="1" xfId="15" applyFont="1" applyBorder="1" applyAlignment="1">
      <alignment horizontal="center" vertical="center"/>
    </xf>
    <xf numFmtId="0" fontId="19" fillId="0" borderId="2" xfId="15" applyFont="1" applyBorder="1" applyAlignment="1">
      <alignment horizontal="center" vertical="center"/>
    </xf>
    <xf numFmtId="0" fontId="39" fillId="0" borderId="2" xfId="15" applyFont="1" applyBorder="1" applyAlignment="1">
      <alignment vertical="center"/>
    </xf>
    <xf numFmtId="3" fontId="7" fillId="0" borderId="2" xfId="15" applyNumberFormat="1" applyFont="1" applyBorder="1" applyAlignment="1">
      <alignment vertical="center"/>
    </xf>
    <xf numFmtId="3" fontId="19" fillId="0" borderId="2" xfId="15" applyNumberFormat="1" applyFont="1" applyBorder="1" applyAlignment="1">
      <alignment vertical="center"/>
    </xf>
    <xf numFmtId="165" fontId="19" fillId="0" borderId="2" xfId="15" applyNumberFormat="1" applyFont="1" applyBorder="1" applyAlignment="1">
      <alignment horizontal="center" vertical="center"/>
    </xf>
    <xf numFmtId="0" fontId="19" fillId="0" borderId="3" xfId="15" applyFont="1" applyBorder="1" applyAlignment="1">
      <alignment horizontal="center" vertical="center"/>
    </xf>
    <xf numFmtId="0" fontId="19" fillId="0" borderId="3" xfId="15" applyFont="1" applyBorder="1" applyAlignment="1">
      <alignment vertical="center"/>
    </xf>
    <xf numFmtId="3" fontId="7" fillId="0" borderId="3" xfId="15" applyNumberFormat="1" applyFont="1" applyBorder="1" applyAlignment="1">
      <alignment vertical="center"/>
    </xf>
    <xf numFmtId="3" fontId="19" fillId="0" borderId="3" xfId="15" applyNumberFormat="1" applyFont="1" applyBorder="1" applyAlignment="1">
      <alignment vertical="center"/>
    </xf>
    <xf numFmtId="165" fontId="19" fillId="0" borderId="3" xfId="15" applyNumberFormat="1" applyFont="1" applyBorder="1" applyAlignment="1">
      <alignment horizontal="center" vertical="center"/>
    </xf>
    <xf numFmtId="0" fontId="20" fillId="0" borderId="3" xfId="15" applyFont="1" applyBorder="1" applyAlignment="1">
      <alignment horizontal="center" vertical="center"/>
    </xf>
    <xf numFmtId="0" fontId="20" fillId="0" borderId="3" xfId="15" applyFont="1" applyBorder="1" applyAlignment="1">
      <alignment vertical="center"/>
    </xf>
    <xf numFmtId="3" fontId="9" fillId="0" borderId="3" xfId="15" applyNumberFormat="1" applyFont="1" applyBorder="1" applyAlignment="1">
      <alignment vertical="center"/>
    </xf>
    <xf numFmtId="3" fontId="20" fillId="0" borderId="3" xfId="15" applyNumberFormat="1" applyFont="1" applyBorder="1" applyAlignment="1">
      <alignment vertical="center"/>
    </xf>
    <xf numFmtId="165" fontId="20" fillId="0" borderId="3" xfId="15" applyNumberFormat="1" applyFont="1" applyBorder="1" applyAlignment="1">
      <alignment horizontal="center" vertical="center"/>
    </xf>
    <xf numFmtId="0" fontId="19" fillId="0" borderId="3" xfId="15" applyFont="1" applyBorder="1" applyAlignment="1">
      <alignment vertical="center" wrapText="1"/>
    </xf>
    <xf numFmtId="0" fontId="7" fillId="0" borderId="3" xfId="15" applyFont="1" applyBorder="1" applyAlignment="1">
      <alignment horizontal="center" vertical="center"/>
    </xf>
    <xf numFmtId="0" fontId="7" fillId="0" borderId="3" xfId="15" applyFont="1" applyBorder="1" applyAlignment="1">
      <alignment vertical="center"/>
    </xf>
    <xf numFmtId="0" fontId="9" fillId="0" borderId="3" xfId="15" applyFont="1" applyBorder="1" applyAlignment="1">
      <alignment horizontal="center" vertical="center"/>
    </xf>
    <xf numFmtId="0" fontId="9" fillId="0" borderId="3" xfId="15" applyFont="1" applyBorder="1" applyAlignment="1">
      <alignment vertical="center"/>
    </xf>
    <xf numFmtId="0" fontId="9" fillId="0" borderId="3" xfId="15" applyFont="1" applyBorder="1" applyAlignment="1">
      <alignment vertical="center" wrapText="1"/>
    </xf>
    <xf numFmtId="165" fontId="7" fillId="0" borderId="3" xfId="15" applyNumberFormat="1" applyFont="1" applyBorder="1" applyAlignment="1">
      <alignment horizontal="center" vertical="center"/>
    </xf>
    <xf numFmtId="165" fontId="9" fillId="0" borderId="3" xfId="15" applyNumberFormat="1" applyFont="1" applyBorder="1" applyAlignment="1">
      <alignment horizontal="center" vertical="center"/>
    </xf>
    <xf numFmtId="4" fontId="9" fillId="0" borderId="3" xfId="15" applyNumberFormat="1" applyFont="1" applyBorder="1" applyAlignment="1">
      <alignment vertical="center"/>
    </xf>
    <xf numFmtId="0" fontId="20" fillId="0" borderId="4" xfId="15" applyFont="1" applyBorder="1" applyAlignment="1">
      <alignment vertical="center"/>
    </xf>
    <xf numFmtId="0" fontId="9" fillId="0" borderId="4" xfId="15" applyFont="1" applyBorder="1" applyAlignment="1">
      <alignment vertical="center"/>
    </xf>
    <xf numFmtId="0" fontId="12" fillId="0" borderId="0" xfId="11" quotePrefix="1" applyFont="1" applyAlignment="1">
      <alignment vertical="center"/>
    </xf>
    <xf numFmtId="0" fontId="33" fillId="0" borderId="0" xfId="12" applyFont="1" applyAlignment="1">
      <alignment horizontal="left" vertical="center" wrapText="1"/>
    </xf>
    <xf numFmtId="0" fontId="9" fillId="0" borderId="0" xfId="16" applyFont="1" applyAlignment="1">
      <alignment horizontal="left" vertical="center"/>
    </xf>
    <xf numFmtId="0" fontId="11" fillId="0" borderId="2" xfId="11" applyFont="1" applyBorder="1" applyAlignment="1">
      <alignment horizontal="center" vertical="center"/>
    </xf>
    <xf numFmtId="3" fontId="7" fillId="0" borderId="3" xfId="11" applyNumberFormat="1" applyFont="1" applyBorder="1" applyAlignment="1">
      <alignment vertical="center" wrapText="1"/>
    </xf>
    <xf numFmtId="3" fontId="7" fillId="0" borderId="3" xfId="11" applyNumberFormat="1" applyFont="1" applyBorder="1" applyAlignment="1">
      <alignment horizontal="right" vertical="center" wrapText="1"/>
    </xf>
    <xf numFmtId="3" fontId="9" fillId="0" borderId="3" xfId="11" applyNumberFormat="1" applyFont="1" applyBorder="1" applyAlignment="1">
      <alignment vertical="center" wrapText="1"/>
    </xf>
    <xf numFmtId="3" fontId="20" fillId="0" borderId="3" xfId="11" applyNumberFormat="1" applyFont="1" applyBorder="1" applyAlignment="1">
      <alignment horizontal="right" vertical="center" wrapText="1"/>
    </xf>
    <xf numFmtId="0" fontId="20" fillId="0" borderId="3" xfId="11" quotePrefix="1" applyFont="1" applyBorder="1" applyAlignment="1">
      <alignment horizontal="center" vertical="center" wrapText="1"/>
    </xf>
    <xf numFmtId="0" fontId="23" fillId="0" borderId="3" xfId="11" quotePrefix="1" applyFont="1" applyBorder="1" applyAlignment="1">
      <alignment horizontal="center" vertical="center" wrapText="1"/>
    </xf>
    <xf numFmtId="0" fontId="8" fillId="0" borderId="3" xfId="11" applyFont="1" applyBorder="1" applyAlignment="1">
      <alignment horizontal="left" vertical="center" wrapText="1"/>
    </xf>
    <xf numFmtId="3" fontId="23" fillId="0" borderId="3" xfId="11" applyNumberFormat="1" applyFont="1" applyBorder="1" applyAlignment="1">
      <alignment vertical="center" wrapText="1"/>
    </xf>
    <xf numFmtId="0" fontId="23" fillId="0" borderId="3" xfId="11" applyFont="1" applyBorder="1" applyAlignment="1">
      <alignment vertical="center" wrapText="1"/>
    </xf>
    <xf numFmtId="0" fontId="26" fillId="0" borderId="3" xfId="11" applyFont="1" applyBorder="1" applyAlignment="1">
      <alignment vertical="center" wrapText="1"/>
    </xf>
    <xf numFmtId="3" fontId="19" fillId="0" borderId="3" xfId="11" applyNumberFormat="1" applyFont="1" applyBorder="1" applyAlignment="1">
      <alignment vertical="center" wrapText="1"/>
    </xf>
    <xf numFmtId="3" fontId="20" fillId="0" borderId="3" xfId="0" applyNumberFormat="1" applyFont="1" applyBorder="1" applyAlignment="1">
      <alignment vertical="center"/>
    </xf>
    <xf numFmtId="3" fontId="9" fillId="0" borderId="3" xfId="11" applyNumberFormat="1" applyFont="1" applyBorder="1" applyAlignment="1">
      <alignment horizontal="right" vertical="center" wrapText="1"/>
    </xf>
    <xf numFmtId="0" fontId="9" fillId="0" borderId="3" xfId="16" applyFont="1" applyBorder="1" applyAlignment="1">
      <alignment horizontal="left" vertical="center" wrapText="1"/>
    </xf>
    <xf numFmtId="3" fontId="8" fillId="0" borderId="3" xfId="16" applyNumberFormat="1" applyFont="1" applyBorder="1" applyAlignment="1">
      <alignment vertical="center"/>
    </xf>
    <xf numFmtId="3" fontId="8" fillId="0" borderId="3" xfId="11" applyNumberFormat="1" applyFont="1" applyBorder="1" applyAlignment="1">
      <alignment vertical="center" wrapText="1"/>
    </xf>
    <xf numFmtId="0" fontId="9" fillId="0" borderId="3" xfId="16" applyFont="1" applyBorder="1" applyAlignment="1">
      <alignment vertical="center" wrapText="1"/>
    </xf>
    <xf numFmtId="0" fontId="8" fillId="0" borderId="3" xfId="11" applyFont="1" applyBorder="1" applyAlignment="1">
      <alignment horizontal="center" vertical="center" wrapText="1"/>
    </xf>
    <xf numFmtId="3" fontId="7" fillId="0" borderId="4" xfId="11" applyNumberFormat="1" applyFont="1" applyBorder="1" applyAlignment="1">
      <alignment horizontal="right" vertical="center" wrapText="1"/>
    </xf>
    <xf numFmtId="0" fontId="9" fillId="0" borderId="0" xfId="11" applyFont="1" applyAlignment="1">
      <alignment horizontal="right" vertical="center"/>
    </xf>
    <xf numFmtId="0" fontId="7" fillId="0" borderId="3" xfId="16" applyFont="1" applyBorder="1" applyAlignment="1">
      <alignment horizontal="center" vertical="center" wrapText="1"/>
    </xf>
    <xf numFmtId="0" fontId="7" fillId="0" borderId="3" xfId="16" applyFont="1" applyBorder="1" applyAlignment="1">
      <alignment vertical="center" wrapText="1"/>
    </xf>
    <xf numFmtId="3" fontId="8" fillId="0" borderId="3" xfId="16" applyNumberFormat="1" applyFont="1" applyBorder="1" applyAlignment="1">
      <alignment vertical="center" wrapText="1"/>
    </xf>
    <xf numFmtId="3" fontId="7" fillId="0" borderId="3" xfId="16" applyNumberFormat="1" applyFont="1" applyBorder="1" applyAlignment="1">
      <alignment vertical="center" wrapText="1"/>
    </xf>
    <xf numFmtId="0" fontId="7" fillId="0" borderId="4" xfId="16" applyFont="1" applyBorder="1" applyAlignment="1">
      <alignment horizontal="center" vertical="center" wrapText="1"/>
    </xf>
    <xf numFmtId="0" fontId="7" fillId="0" borderId="4" xfId="16" applyFont="1" applyBorder="1" applyAlignment="1">
      <alignment vertical="center" wrapText="1"/>
    </xf>
    <xf numFmtId="3" fontId="8" fillId="0" borderId="4" xfId="16" applyNumberFormat="1" applyFont="1" applyBorder="1" applyAlignment="1">
      <alignment vertical="center" wrapText="1"/>
    </xf>
    <xf numFmtId="3" fontId="7" fillId="0" borderId="4" xfId="16" applyNumberFormat="1" applyFont="1" applyBorder="1" applyAlignment="1">
      <alignment vertical="center" wrapText="1"/>
    </xf>
    <xf numFmtId="9" fontId="9" fillId="0" borderId="4" xfId="14" applyFont="1" applyFill="1" applyBorder="1" applyAlignment="1">
      <alignment horizontal="right" vertical="center" wrapText="1"/>
    </xf>
    <xf numFmtId="3" fontId="10" fillId="0" borderId="0" xfId="11" applyNumberFormat="1" applyFont="1" applyAlignment="1">
      <alignment vertical="center"/>
    </xf>
    <xf numFmtId="2" fontId="8" fillId="0" borderId="0" xfId="11" applyNumberFormat="1" applyFont="1" applyAlignment="1">
      <alignment vertical="center"/>
    </xf>
    <xf numFmtId="0" fontId="66" fillId="0" borderId="2" xfId="11" applyFont="1" applyBorder="1" applyAlignment="1">
      <alignment vertical="center"/>
    </xf>
    <xf numFmtId="168" fontId="9" fillId="0" borderId="0" xfId="5" applyNumberFormat="1" applyFont="1" applyFill="1" applyAlignment="1">
      <alignment vertical="center"/>
    </xf>
    <xf numFmtId="0" fontId="9" fillId="0" borderId="9" xfId="11" quotePrefix="1" applyFont="1" applyBorder="1" applyAlignment="1">
      <alignment horizontal="center" vertical="center" wrapText="1"/>
    </xf>
    <xf numFmtId="0" fontId="19" fillId="0" borderId="0" xfId="11" applyFont="1" applyAlignment="1">
      <alignment horizontal="left" vertical="center"/>
    </xf>
    <xf numFmtId="0" fontId="20" fillId="0" borderId="0" xfId="11" applyFont="1" applyAlignment="1">
      <alignment vertical="center"/>
    </xf>
    <xf numFmtId="0" fontId="23" fillId="0" borderId="0" xfId="11" applyFont="1" applyAlignment="1">
      <alignment horizontal="left" vertical="center"/>
    </xf>
    <xf numFmtId="0" fontId="19" fillId="0" borderId="1" xfId="11" applyFont="1" applyBorder="1" applyAlignment="1">
      <alignment horizontal="center" vertical="center"/>
    </xf>
    <xf numFmtId="0" fontId="19" fillId="0" borderId="0" xfId="11" applyFont="1" applyAlignment="1">
      <alignment vertical="center"/>
    </xf>
    <xf numFmtId="0" fontId="19" fillId="0" borderId="2" xfId="11" applyFont="1" applyBorder="1" applyAlignment="1">
      <alignment horizontal="center" vertical="center"/>
    </xf>
    <xf numFmtId="0" fontId="19" fillId="0" borderId="2" xfId="11" applyFont="1" applyBorder="1" applyAlignment="1">
      <alignment vertical="center"/>
    </xf>
    <xf numFmtId="3" fontId="20" fillId="0" borderId="0" xfId="11" applyNumberFormat="1" applyFont="1" applyAlignment="1">
      <alignment vertical="center"/>
    </xf>
    <xf numFmtId="0" fontId="46" fillId="0" borderId="13" xfId="11" applyFont="1" applyBorder="1" applyAlignment="1">
      <alignment horizontal="center" vertical="center" wrapText="1"/>
    </xf>
    <xf numFmtId="0" fontId="46" fillId="0" borderId="13" xfId="11" applyFont="1" applyBorder="1" applyAlignment="1">
      <alignment vertical="center" wrapText="1"/>
    </xf>
    <xf numFmtId="0" fontId="46" fillId="0" borderId="14" xfId="11" applyFont="1" applyBorder="1" applyAlignment="1">
      <alignment horizontal="center" vertical="center" wrapText="1"/>
    </xf>
    <xf numFmtId="0" fontId="46" fillId="0" borderId="14" xfId="11" applyFont="1" applyBorder="1" applyAlignment="1">
      <alignment vertical="center" wrapText="1"/>
    </xf>
    <xf numFmtId="0" fontId="19" fillId="0" borderId="3" xfId="11" applyFont="1" applyBorder="1" applyAlignment="1">
      <alignment horizontal="center" vertical="center"/>
    </xf>
    <xf numFmtId="0" fontId="19" fillId="0" borderId="3" xfId="11" applyFont="1" applyBorder="1" applyAlignment="1">
      <alignment vertical="center"/>
    </xf>
    <xf numFmtId="0" fontId="23" fillId="0" borderId="3" xfId="11" applyFont="1" applyBorder="1" applyAlignment="1">
      <alignment horizontal="center" vertical="center"/>
    </xf>
    <xf numFmtId="0" fontId="23" fillId="0" borderId="3" xfId="11" applyFont="1" applyBorder="1" applyAlignment="1">
      <alignment vertical="center"/>
    </xf>
    <xf numFmtId="0" fontId="23" fillId="0" borderId="0" xfId="11" applyFont="1" applyAlignment="1">
      <alignment vertical="center"/>
    </xf>
    <xf numFmtId="0" fontId="20" fillId="0" borderId="3" xfId="11" quotePrefix="1" applyFont="1" applyBorder="1" applyAlignment="1">
      <alignment horizontal="center" vertical="center"/>
    </xf>
    <xf numFmtId="3" fontId="8" fillId="0" borderId="3" xfId="0" applyNumberFormat="1" applyFont="1" applyBorder="1" applyAlignment="1">
      <alignment vertical="center"/>
    </xf>
    <xf numFmtId="0" fontId="20" fillId="0" borderId="3" xfId="11" applyFont="1" applyBorder="1" applyAlignment="1">
      <alignment horizontal="center" vertical="center"/>
    </xf>
    <xf numFmtId="0" fontId="20" fillId="0" borderId="3" xfId="11" applyFont="1" applyBorder="1" applyAlignment="1">
      <alignment horizontal="left" vertical="center" wrapText="1"/>
    </xf>
    <xf numFmtId="0" fontId="20" fillId="0" borderId="3" xfId="11" applyFont="1" applyBorder="1" applyAlignment="1">
      <alignment vertical="center"/>
    </xf>
    <xf numFmtId="0" fontId="26" fillId="0" borderId="3" xfId="11" applyFont="1" applyBorder="1" applyAlignment="1">
      <alignment vertical="center"/>
    </xf>
    <xf numFmtId="3" fontId="13" fillId="0" borderId="3" xfId="11" applyNumberFormat="1" applyFont="1" applyBorder="1" applyAlignment="1">
      <alignment vertical="center"/>
    </xf>
    <xf numFmtId="0" fontId="7" fillId="0" borderId="9" xfId="11" applyFont="1" applyBorder="1" applyAlignment="1">
      <alignment horizontal="center" vertical="center"/>
    </xf>
    <xf numFmtId="0" fontId="7" fillId="0" borderId="9" xfId="11" applyFont="1" applyBorder="1" applyAlignment="1">
      <alignment vertical="center"/>
    </xf>
    <xf numFmtId="3" fontId="13" fillId="0" borderId="9" xfId="11" applyNumberFormat="1" applyFont="1" applyBorder="1" applyAlignment="1">
      <alignment vertical="center"/>
    </xf>
    <xf numFmtId="0" fontId="7" fillId="0" borderId="14" xfId="11" applyFont="1" applyBorder="1" applyAlignment="1">
      <alignment horizontal="center" vertical="center" wrapText="1"/>
    </xf>
    <xf numFmtId="170" fontId="7" fillId="0" borderId="12" xfId="9" applyNumberFormat="1" applyFont="1" applyFill="1" applyBorder="1" applyAlignment="1" applyProtection="1">
      <alignment horizontal="left" vertical="center" wrapText="1"/>
    </xf>
    <xf numFmtId="0" fontId="7" fillId="0" borderId="28" xfId="11" applyFont="1" applyBorder="1" applyAlignment="1">
      <alignment horizontal="center" vertical="center" wrapText="1"/>
    </xf>
    <xf numFmtId="170" fontId="7" fillId="0" borderId="28" xfId="9" applyNumberFormat="1" applyFont="1" applyFill="1" applyBorder="1" applyAlignment="1" applyProtection="1">
      <alignment horizontal="left" vertical="center" wrapText="1"/>
    </xf>
    <xf numFmtId="3" fontId="7" fillId="0" borderId="3" xfId="9" quotePrefix="1" applyNumberFormat="1" applyFont="1" applyFill="1" applyBorder="1" applyAlignment="1">
      <alignment horizontal="center" vertical="center" wrapText="1"/>
    </xf>
    <xf numFmtId="170" fontId="7" fillId="0" borderId="3" xfId="9" applyNumberFormat="1" applyFont="1" applyFill="1" applyBorder="1" applyAlignment="1">
      <alignment horizontal="left" vertical="center" wrapText="1"/>
    </xf>
    <xf numFmtId="3" fontId="7" fillId="0" borderId="9" xfId="11" applyNumberFormat="1" applyFont="1" applyBorder="1" applyAlignment="1">
      <alignment vertical="center"/>
    </xf>
    <xf numFmtId="9" fontId="7" fillId="0" borderId="9" xfId="11" applyNumberFormat="1" applyFont="1" applyBorder="1" applyAlignment="1">
      <alignment horizontal="center" vertical="center"/>
    </xf>
    <xf numFmtId="0" fontId="9" fillId="0" borderId="0" xfId="11" applyFont="1" applyAlignment="1">
      <alignment horizontal="centerContinuous" vertical="center"/>
    </xf>
    <xf numFmtId="43" fontId="20" fillId="0" borderId="0" xfId="5" applyFont="1" applyFill="1" applyAlignment="1">
      <alignment vertical="center"/>
    </xf>
    <xf numFmtId="0" fontId="21" fillId="0" borderId="0" xfId="0" applyFont="1" applyAlignment="1">
      <alignment horizontal="centerContinuous" vertical="center"/>
    </xf>
    <xf numFmtId="0" fontId="22" fillId="0" borderId="0" xfId="0" applyFont="1" applyAlignment="1">
      <alignment horizontal="centerContinuous" vertical="center"/>
    </xf>
    <xf numFmtId="0" fontId="22" fillId="0" borderId="0" xfId="0" applyFont="1" applyAlignment="1">
      <alignment vertical="center"/>
    </xf>
    <xf numFmtId="0" fontId="23" fillId="0" borderId="0" xfId="0" applyFont="1" applyAlignment="1">
      <alignment horizontal="left" vertical="center"/>
    </xf>
    <xf numFmtId="0" fontId="20" fillId="0" borderId="0" xfId="0" applyFont="1" applyAlignment="1">
      <alignment vertical="center"/>
    </xf>
    <xf numFmtId="0" fontId="24" fillId="0" borderId="0" xfId="0" applyFont="1" applyAlignment="1">
      <alignment vertical="center"/>
    </xf>
    <xf numFmtId="0" fontId="25" fillId="0" borderId="1" xfId="0" applyFont="1" applyBorder="1" applyAlignment="1">
      <alignment horizontal="center" vertical="center"/>
    </xf>
    <xf numFmtId="0" fontId="25" fillId="0" borderId="0" xfId="0" applyFont="1" applyAlignment="1">
      <alignment vertical="center"/>
    </xf>
    <xf numFmtId="0" fontId="19" fillId="0" borderId="2" xfId="0" applyFont="1" applyBorder="1" applyAlignment="1">
      <alignment horizontal="center" vertical="center"/>
    </xf>
    <xf numFmtId="0" fontId="39" fillId="0" borderId="2" xfId="0" applyFont="1" applyBorder="1" applyAlignment="1">
      <alignment vertical="center"/>
    </xf>
    <xf numFmtId="3" fontId="20" fillId="0" borderId="2" xfId="0" applyNumberFormat="1" applyFont="1" applyBorder="1" applyAlignment="1">
      <alignment vertical="center"/>
    </xf>
    <xf numFmtId="0" fontId="39" fillId="0" borderId="3" xfId="0" applyFont="1" applyBorder="1" applyAlignment="1">
      <alignment vertical="center"/>
    </xf>
    <xf numFmtId="9" fontId="19" fillId="0" borderId="3" xfId="0" applyNumberFormat="1" applyFont="1" applyBorder="1" applyAlignment="1">
      <alignment horizontal="center" vertical="center"/>
    </xf>
    <xf numFmtId="3" fontId="20" fillId="0" borderId="0" xfId="0" applyNumberFormat="1" applyFont="1" applyAlignment="1">
      <alignment vertical="center"/>
    </xf>
    <xf numFmtId="0" fontId="20" fillId="0" borderId="3" xfId="0" applyFont="1" applyBorder="1" applyAlignment="1">
      <alignment horizontal="center" vertical="center"/>
    </xf>
    <xf numFmtId="0" fontId="20" fillId="0" borderId="3" xfId="0" applyFont="1" applyBorder="1" applyAlignment="1">
      <alignment vertical="center"/>
    </xf>
    <xf numFmtId="9" fontId="20" fillId="0" borderId="3" xfId="0" applyNumberFormat="1" applyFont="1" applyBorder="1" applyAlignment="1">
      <alignment horizontal="center" vertical="center"/>
    </xf>
    <xf numFmtId="0" fontId="20" fillId="0" borderId="3" xfId="0" quotePrefix="1" applyFont="1" applyBorder="1" applyAlignment="1">
      <alignment horizontal="center" vertical="center"/>
    </xf>
    <xf numFmtId="0" fontId="19" fillId="0" borderId="3" xfId="0" applyFont="1" applyBorder="1" applyAlignment="1">
      <alignment vertical="center"/>
    </xf>
    <xf numFmtId="0" fontId="20" fillId="0" borderId="4" xfId="0" applyFont="1" applyBorder="1" applyAlignment="1">
      <alignment vertical="center"/>
    </xf>
    <xf numFmtId="0" fontId="28" fillId="0" borderId="0" xfId="0" applyFont="1" applyAlignment="1">
      <alignment vertical="center"/>
    </xf>
    <xf numFmtId="0" fontId="7" fillId="0" borderId="0" xfId="11" applyFont="1" applyAlignment="1">
      <alignment horizontal="left" vertical="center" wrapText="1"/>
    </xf>
    <xf numFmtId="168" fontId="7" fillId="0" borderId="2" xfId="5" applyNumberFormat="1" applyFont="1" applyFill="1" applyBorder="1" applyAlignment="1">
      <alignment vertical="center"/>
    </xf>
    <xf numFmtId="9" fontId="7" fillId="0" borderId="2" xfId="0" applyNumberFormat="1" applyFont="1" applyBorder="1" applyAlignment="1">
      <alignment vertical="center"/>
    </xf>
    <xf numFmtId="9" fontId="9" fillId="0" borderId="3" xfId="0" applyNumberFormat="1" applyFont="1" applyBorder="1" applyAlignment="1">
      <alignment vertical="center"/>
    </xf>
    <xf numFmtId="0" fontId="7" fillId="0" borderId="0" xfId="0" applyFont="1" applyAlignment="1">
      <alignment horizontal="left" vertical="center"/>
    </xf>
    <xf numFmtId="0" fontId="7" fillId="2" borderId="3" xfId="11" applyFont="1" applyFill="1" applyBorder="1" applyAlignment="1">
      <alignment vertical="center"/>
    </xf>
    <xf numFmtId="0" fontId="7" fillId="2" borderId="3" xfId="11" applyFont="1" applyFill="1" applyBorder="1" applyAlignment="1">
      <alignment horizontal="center" vertical="center"/>
    </xf>
    <xf numFmtId="0" fontId="7" fillId="2" borderId="9" xfId="11" applyFont="1" applyFill="1" applyBorder="1" applyAlignment="1">
      <alignment horizontal="center" vertical="center"/>
    </xf>
    <xf numFmtId="0" fontId="7" fillId="2" borderId="9" xfId="11" applyFont="1" applyFill="1" applyBorder="1" applyAlignment="1">
      <alignment vertical="center"/>
    </xf>
    <xf numFmtId="0" fontId="5" fillId="2" borderId="0" xfId="2" applyFont="1" applyFill="1" applyAlignment="1">
      <alignment horizontal="centerContinuous" vertical="center"/>
    </xf>
    <xf numFmtId="0" fontId="6" fillId="2" borderId="0" xfId="2" applyFont="1" applyFill="1" applyAlignment="1">
      <alignment horizontal="right" vertical="center"/>
    </xf>
    <xf numFmtId="0" fontId="7" fillId="2" borderId="0" xfId="1" applyFont="1" applyFill="1" applyAlignment="1">
      <alignment horizontal="right" vertical="center"/>
    </xf>
    <xf numFmtId="3" fontId="6" fillId="2" borderId="0" xfId="2" applyNumberFormat="1" applyFont="1" applyFill="1" applyAlignment="1">
      <alignment vertical="center"/>
    </xf>
    <xf numFmtId="41" fontId="6" fillId="2" borderId="0" xfId="2" applyNumberFormat="1" applyFont="1" applyFill="1" applyAlignment="1">
      <alignment vertical="center"/>
    </xf>
    <xf numFmtId="0" fontId="11" fillId="2" borderId="1" xfId="1" applyFont="1" applyFill="1" applyBorder="1" applyAlignment="1">
      <alignment horizontal="center" vertical="center"/>
    </xf>
    <xf numFmtId="0" fontId="7" fillId="2" borderId="2" xfId="2" applyFont="1" applyFill="1" applyBorder="1" applyAlignment="1">
      <alignment horizontal="center" vertical="center"/>
    </xf>
    <xf numFmtId="0" fontId="7" fillId="2" borderId="2" xfId="2" applyFont="1" applyFill="1" applyBorder="1" applyAlignment="1">
      <alignment vertical="center"/>
    </xf>
    <xf numFmtId="3" fontId="7" fillId="2" borderId="2" xfId="2" applyNumberFormat="1" applyFont="1" applyFill="1" applyBorder="1" applyAlignment="1">
      <alignment horizontal="right" vertical="center"/>
    </xf>
    <xf numFmtId="166" fontId="7" fillId="2" borderId="3" xfId="1" applyNumberFormat="1" applyFont="1" applyFill="1" applyBorder="1" applyAlignment="1">
      <alignment horizontal="right" vertical="center"/>
    </xf>
    <xf numFmtId="0" fontId="7" fillId="2" borderId="3" xfId="2" applyFont="1" applyFill="1" applyBorder="1" applyAlignment="1">
      <alignment vertical="center"/>
    </xf>
    <xf numFmtId="3" fontId="7" fillId="2" borderId="3" xfId="2" applyNumberFormat="1" applyFont="1" applyFill="1" applyBorder="1" applyAlignment="1">
      <alignment horizontal="right" vertical="center"/>
    </xf>
    <xf numFmtId="3" fontId="9" fillId="2" borderId="0" xfId="2" applyNumberFormat="1" applyFont="1" applyFill="1" applyAlignment="1">
      <alignment vertical="center"/>
    </xf>
    <xf numFmtId="166" fontId="9" fillId="2" borderId="3" xfId="1" applyNumberFormat="1" applyFont="1" applyFill="1" applyBorder="1" applyAlignment="1">
      <alignment horizontal="right" vertical="center"/>
    </xf>
    <xf numFmtId="0" fontId="9" fillId="2" borderId="3" xfId="2" applyFont="1" applyFill="1" applyBorder="1" applyAlignment="1">
      <alignment horizontal="center" vertical="center"/>
    </xf>
    <xf numFmtId="0" fontId="9" fillId="2" borderId="3" xfId="2" applyFont="1" applyFill="1" applyBorder="1" applyAlignment="1">
      <alignment vertical="center"/>
    </xf>
    <xf numFmtId="3" fontId="9" fillId="2" borderId="3" xfId="2" applyNumberFormat="1" applyFont="1" applyFill="1" applyBorder="1" applyAlignment="1">
      <alignment horizontal="right" vertical="center"/>
    </xf>
    <xf numFmtId="0" fontId="9" fillId="2" borderId="3" xfId="2" quotePrefix="1" applyFont="1" applyFill="1" applyBorder="1" applyAlignment="1">
      <alignment horizontal="center" vertical="center"/>
    </xf>
    <xf numFmtId="167" fontId="9" fillId="2" borderId="3" xfId="3" applyNumberFormat="1" applyFont="1" applyFill="1" applyBorder="1" applyAlignment="1">
      <alignment vertical="center" wrapText="1"/>
    </xf>
    <xf numFmtId="0" fontId="9" fillId="2" borderId="3" xfId="2" applyFont="1" applyFill="1" applyBorder="1" applyAlignment="1">
      <alignment horizontal="left" vertical="center" wrapText="1"/>
    </xf>
    <xf numFmtId="0" fontId="7" fillId="2" borderId="9" xfId="2" applyFont="1" applyFill="1" applyBorder="1" applyAlignment="1">
      <alignment vertical="center"/>
    </xf>
    <xf numFmtId="3" fontId="7" fillId="2" borderId="9" xfId="2" applyNumberFormat="1" applyFont="1" applyFill="1" applyBorder="1" applyAlignment="1">
      <alignment horizontal="right" vertical="center"/>
    </xf>
    <xf numFmtId="166" fontId="7" fillId="2" borderId="9" xfId="1" applyNumberFormat="1" applyFont="1" applyFill="1" applyBorder="1" applyAlignment="1">
      <alignment horizontal="right" vertical="center"/>
    </xf>
    <xf numFmtId="0" fontId="9" fillId="2" borderId="4" xfId="2" applyFont="1" applyFill="1" applyBorder="1" applyAlignment="1">
      <alignment horizontal="right" vertical="center"/>
    </xf>
    <xf numFmtId="41" fontId="9" fillId="2" borderId="4" xfId="1" applyNumberFormat="1" applyFont="1" applyFill="1" applyBorder="1" applyAlignment="1">
      <alignment horizontal="right" vertical="center"/>
    </xf>
    <xf numFmtId="166" fontId="9" fillId="2" borderId="4" xfId="1" applyNumberFormat="1" applyFont="1" applyFill="1" applyBorder="1" applyAlignment="1">
      <alignment horizontal="right" vertical="center"/>
    </xf>
    <xf numFmtId="0" fontId="12" fillId="2" borderId="0" xfId="1" applyFont="1" applyFill="1" applyAlignment="1">
      <alignment vertical="center"/>
    </xf>
    <xf numFmtId="0" fontId="6" fillId="2" borderId="0" xfId="1" applyFont="1" applyFill="1" applyAlignment="1">
      <alignment vertical="center"/>
    </xf>
    <xf numFmtId="0" fontId="6" fillId="2" borderId="0" xfId="1" applyFont="1" applyFill="1" applyAlignment="1">
      <alignment horizontal="right" vertical="center"/>
    </xf>
    <xf numFmtId="0" fontId="9" fillId="2" borderId="0" xfId="1" applyFont="1" applyFill="1" applyAlignment="1">
      <alignment vertical="center"/>
    </xf>
    <xf numFmtId="41" fontId="9" fillId="2" borderId="0" xfId="2" applyNumberFormat="1" applyFont="1" applyFill="1" applyAlignment="1">
      <alignment vertical="center"/>
    </xf>
    <xf numFmtId="0" fontId="5" fillId="0" borderId="0" xfId="2" applyFont="1" applyAlignment="1">
      <alignment horizontal="center" vertical="center"/>
    </xf>
    <xf numFmtId="0" fontId="5" fillId="0" borderId="0" xfId="2" applyFont="1" applyAlignment="1">
      <alignment horizontal="center" vertical="center" wrapText="1"/>
    </xf>
    <xf numFmtId="0" fontId="6" fillId="0" borderId="0" xfId="2" applyFont="1" applyAlignment="1">
      <alignment horizontal="center" vertical="center"/>
    </xf>
    <xf numFmtId="0" fontId="7" fillId="0" borderId="0" xfId="2" applyFont="1" applyAlignment="1">
      <alignment horizontal="center" vertical="center"/>
    </xf>
    <xf numFmtId="0" fontId="7" fillId="0" borderId="0" xfId="2" applyFont="1" applyAlignment="1">
      <alignment vertical="center"/>
    </xf>
    <xf numFmtId="0" fontId="6" fillId="0" borderId="0" xfId="2" applyFont="1" applyAlignment="1">
      <alignment vertical="center"/>
    </xf>
    <xf numFmtId="0" fontId="8" fillId="0" borderId="0" xfId="2" applyFont="1" applyAlignment="1">
      <alignment horizontal="left" vertical="center"/>
    </xf>
    <xf numFmtId="0" fontId="8" fillId="0" borderId="0" xfId="2" applyFont="1" applyAlignment="1">
      <alignment horizontal="left" vertical="center" wrapText="1"/>
    </xf>
    <xf numFmtId="0" fontId="9" fillId="0" borderId="0" xfId="2" applyFont="1" applyAlignment="1">
      <alignment vertical="center"/>
    </xf>
    <xf numFmtId="0" fontId="8" fillId="0" borderId="0" xfId="2" applyFont="1" applyAlignment="1">
      <alignment horizontal="center" vertical="center"/>
    </xf>
    <xf numFmtId="0" fontId="8" fillId="0" borderId="0" xfId="2" applyFont="1" applyAlignment="1">
      <alignment horizontal="right" vertical="center"/>
    </xf>
    <xf numFmtId="0" fontId="10" fillId="0" borderId="0" xfId="2" applyFont="1" applyAlignment="1">
      <alignment vertical="center"/>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11" fillId="0" borderId="1" xfId="2" quotePrefix="1" applyFont="1" applyBorder="1" applyAlignment="1">
      <alignment horizontal="center" vertical="center"/>
    </xf>
    <xf numFmtId="0" fontId="11" fillId="0" borderId="0" xfId="2" applyFont="1" applyAlignment="1">
      <alignment vertical="center"/>
    </xf>
    <xf numFmtId="0" fontId="7" fillId="0" borderId="3" xfId="2" applyFont="1" applyBorder="1" applyAlignment="1">
      <alignment horizontal="center" vertical="center" wrapText="1"/>
    </xf>
    <xf numFmtId="41" fontId="9" fillId="0" borderId="0" xfId="4" applyNumberFormat="1" applyFont="1" applyAlignment="1">
      <alignment vertical="center"/>
    </xf>
    <xf numFmtId="0" fontId="7" fillId="0" borderId="3" xfId="2" applyFont="1" applyBorder="1" applyAlignment="1">
      <alignment horizontal="left" vertical="center" wrapText="1"/>
    </xf>
    <xf numFmtId="0" fontId="7" fillId="0" borderId="3" xfId="2" applyFont="1" applyBorder="1" applyAlignment="1">
      <alignment vertical="center" wrapText="1"/>
    </xf>
    <xf numFmtId="0" fontId="7" fillId="0" borderId="3" xfId="2" applyFont="1" applyBorder="1" applyAlignment="1">
      <alignment horizontal="center" vertical="center"/>
    </xf>
    <xf numFmtId="3" fontId="7" fillId="0" borderId="3" xfId="2" applyNumberFormat="1" applyFont="1" applyBorder="1" applyAlignment="1">
      <alignment vertical="center"/>
    </xf>
    <xf numFmtId="0" fontId="7" fillId="0" borderId="3" xfId="2" quotePrefix="1" applyFont="1" applyBorder="1" applyAlignment="1">
      <alignment horizontal="center" vertical="center"/>
    </xf>
    <xf numFmtId="0" fontId="7" fillId="0" borderId="9" xfId="2" applyFont="1" applyBorder="1" applyAlignment="1">
      <alignment horizontal="center" vertical="center"/>
    </xf>
    <xf numFmtId="0" fontId="7" fillId="0" borderId="9" xfId="2" applyFont="1" applyBorder="1" applyAlignment="1">
      <alignment vertical="center" wrapText="1"/>
    </xf>
    <xf numFmtId="3" fontId="7" fillId="0" borderId="9" xfId="2" applyNumberFormat="1" applyFont="1" applyBorder="1" applyAlignment="1">
      <alignment vertical="center"/>
    </xf>
    <xf numFmtId="0" fontId="9" fillId="0" borderId="4" xfId="2" applyFont="1" applyBorder="1" applyAlignment="1">
      <alignment vertical="center"/>
    </xf>
    <xf numFmtId="0" fontId="9" fillId="0" borderId="4" xfId="2" applyFont="1" applyBorder="1" applyAlignment="1">
      <alignment vertical="center" wrapText="1"/>
    </xf>
    <xf numFmtId="0" fontId="8" fillId="0" borderId="0" xfId="2" applyFont="1" applyAlignment="1">
      <alignment vertical="center"/>
    </xf>
    <xf numFmtId="0" fontId="9" fillId="0" borderId="0" xfId="2" applyFont="1" applyAlignment="1">
      <alignment vertical="center" wrapText="1"/>
    </xf>
    <xf numFmtId="0" fontId="8" fillId="0" borderId="0" xfId="2" applyFont="1" applyAlignment="1">
      <alignment vertical="center" wrapText="1"/>
    </xf>
    <xf numFmtId="0" fontId="6" fillId="0" borderId="0" xfId="2" applyFont="1" applyAlignment="1">
      <alignment vertical="center" wrapText="1"/>
    </xf>
    <xf numFmtId="0" fontId="5" fillId="0" borderId="0" xfId="4" applyFont="1" applyAlignment="1">
      <alignment horizontal="centerContinuous" vertical="center"/>
    </xf>
    <xf numFmtId="0" fontId="5" fillId="0" borderId="0" xfId="4" applyFont="1" applyAlignment="1">
      <alignment horizontal="centerContinuous" vertical="center" wrapText="1"/>
    </xf>
    <xf numFmtId="0" fontId="7" fillId="0" borderId="0" xfId="4" applyFont="1" applyAlignment="1">
      <alignment horizontal="centerContinuous" vertical="center"/>
    </xf>
    <xf numFmtId="0" fontId="6" fillId="0" borderId="0" xfId="4" applyFont="1" applyAlignment="1">
      <alignment vertical="center"/>
    </xf>
    <xf numFmtId="41" fontId="6" fillId="0" borderId="0" xfId="4" applyNumberFormat="1" applyFont="1" applyAlignment="1">
      <alignment vertical="center"/>
    </xf>
    <xf numFmtId="0" fontId="8" fillId="0" borderId="0" xfId="4" applyFont="1" applyAlignment="1">
      <alignment horizontal="left" vertical="center"/>
    </xf>
    <xf numFmtId="0" fontId="8" fillId="0" borderId="0" xfId="4" applyFont="1" applyAlignment="1">
      <alignment horizontal="left" vertical="center" wrapText="1"/>
    </xf>
    <xf numFmtId="0" fontId="8" fillId="0" borderId="0" xfId="4" applyFont="1" applyAlignment="1">
      <alignment horizontal="center" vertical="center"/>
    </xf>
    <xf numFmtId="0" fontId="8" fillId="0" borderId="0" xfId="4" applyFont="1" applyAlignment="1">
      <alignment horizontal="right" vertical="center"/>
    </xf>
    <xf numFmtId="0" fontId="10" fillId="0" borderId="0" xfId="4" applyFont="1" applyAlignment="1">
      <alignment vertical="center"/>
    </xf>
    <xf numFmtId="0" fontId="11" fillId="0" borderId="1" xfId="4" applyFont="1" applyBorder="1" applyAlignment="1">
      <alignment horizontal="center" vertical="center"/>
    </xf>
    <xf numFmtId="0" fontId="11" fillId="0" borderId="1" xfId="4" applyFont="1" applyBorder="1" applyAlignment="1">
      <alignment horizontal="center" vertical="center" wrapText="1"/>
    </xf>
    <xf numFmtId="0" fontId="11" fillId="0" borderId="1" xfId="4" quotePrefix="1" applyFont="1" applyBorder="1" applyAlignment="1">
      <alignment horizontal="center" vertical="center"/>
    </xf>
    <xf numFmtId="0" fontId="11" fillId="0" borderId="0" xfId="4" applyFont="1" applyAlignment="1">
      <alignment vertical="center"/>
    </xf>
    <xf numFmtId="0" fontId="7" fillId="0" borderId="2" xfId="4" applyFont="1" applyBorder="1" applyAlignment="1">
      <alignment horizontal="center" vertical="center" wrapText="1"/>
    </xf>
    <xf numFmtId="0" fontId="7" fillId="0" borderId="12" xfId="4" applyFont="1" applyBorder="1" applyAlignment="1">
      <alignment vertical="center" wrapText="1"/>
    </xf>
    <xf numFmtId="41" fontId="7" fillId="0" borderId="12" xfId="4" applyNumberFormat="1" applyFont="1" applyBorder="1" applyAlignment="1">
      <alignment vertical="center"/>
    </xf>
    <xf numFmtId="0" fontId="7" fillId="0" borderId="4" xfId="4" applyFont="1" applyBorder="1" applyAlignment="1">
      <alignment horizontal="center" vertical="center"/>
    </xf>
    <xf numFmtId="0" fontId="7" fillId="0" borderId="4" xfId="4" applyFont="1" applyBorder="1" applyAlignment="1">
      <alignment vertical="center" wrapText="1"/>
    </xf>
    <xf numFmtId="41" fontId="7" fillId="0" borderId="4" xfId="4" applyNumberFormat="1" applyFont="1" applyBorder="1" applyAlignment="1">
      <alignment vertical="center"/>
    </xf>
    <xf numFmtId="0" fontId="6" fillId="0" borderId="0" xfId="4" applyFont="1" applyAlignment="1">
      <alignment vertical="center" wrapText="1"/>
    </xf>
    <xf numFmtId="41" fontId="9" fillId="0" borderId="3" xfId="4" applyNumberFormat="1" applyFont="1" applyBorder="1" applyAlignment="1">
      <alignment vertical="center" wrapText="1"/>
    </xf>
    <xf numFmtId="0" fontId="9" fillId="0" borderId="4" xfId="4" applyFont="1" applyBorder="1" applyAlignment="1">
      <alignment horizontal="center" vertical="center"/>
    </xf>
    <xf numFmtId="0" fontId="9" fillId="0" borderId="4" xfId="4" applyFont="1" applyBorder="1" applyAlignment="1">
      <alignment vertical="center" wrapText="1"/>
    </xf>
    <xf numFmtId="41" fontId="9" fillId="0" borderId="4" xfId="4" applyNumberFormat="1" applyFont="1" applyBorder="1" applyAlignment="1">
      <alignment vertical="center" wrapText="1"/>
    </xf>
    <xf numFmtId="41" fontId="9" fillId="0" borderId="4" xfId="4" applyNumberFormat="1" applyFont="1" applyBorder="1" applyAlignment="1">
      <alignment vertical="center"/>
    </xf>
    <xf numFmtId="3" fontId="9" fillId="0" borderId="0" xfId="16" applyNumberFormat="1" applyFont="1" applyAlignment="1">
      <alignment vertical="center"/>
    </xf>
    <xf numFmtId="0" fontId="38" fillId="0" borderId="1" xfId="16" applyFont="1" applyBorder="1" applyAlignment="1">
      <alignment horizontal="center" vertical="center"/>
    </xf>
    <xf numFmtId="0" fontId="38" fillId="0" borderId="1" xfId="16" quotePrefix="1" applyFont="1" applyBorder="1" applyAlignment="1">
      <alignment horizontal="center" vertical="center"/>
    </xf>
    <xf numFmtId="0" fontId="38" fillId="0" borderId="0" xfId="16" applyFont="1" applyAlignment="1">
      <alignment vertical="center"/>
    </xf>
    <xf numFmtId="0" fontId="42" fillId="0" borderId="2" xfId="16" applyFont="1" applyBorder="1" applyAlignment="1">
      <alignment vertical="center"/>
    </xf>
    <xf numFmtId="3" fontId="7" fillId="0" borderId="2" xfId="16" applyNumberFormat="1" applyFont="1" applyBorder="1" applyAlignment="1">
      <alignment horizontal="right" vertical="center"/>
    </xf>
    <xf numFmtId="3" fontId="9" fillId="0" borderId="3" xfId="16" applyNumberFormat="1" applyFont="1" applyBorder="1" applyAlignment="1">
      <alignment horizontal="right" vertical="center"/>
    </xf>
    <xf numFmtId="0" fontId="6" fillId="0" borderId="0" xfId="16" applyFont="1" applyAlignment="1">
      <alignment horizontal="left" vertical="center"/>
    </xf>
    <xf numFmtId="170" fontId="9" fillId="0" borderId="0" xfId="16" applyNumberFormat="1" applyFont="1" applyAlignment="1">
      <alignment vertical="center"/>
    </xf>
    <xf numFmtId="168" fontId="9" fillId="0" borderId="0" xfId="16" applyNumberFormat="1" applyFont="1" applyAlignment="1">
      <alignment vertical="center"/>
    </xf>
    <xf numFmtId="0" fontId="21" fillId="0" borderId="0" xfId="18" applyFont="1" applyAlignment="1">
      <alignment horizontal="centerContinuous" vertical="center"/>
    </xf>
    <xf numFmtId="0" fontId="22" fillId="0" borderId="0" xfId="18" applyFont="1" applyAlignment="1">
      <alignment horizontal="centerContinuous" vertical="center"/>
    </xf>
    <xf numFmtId="0" fontId="22" fillId="0" borderId="0" xfId="18" applyFont="1" applyAlignment="1">
      <alignment vertical="center"/>
    </xf>
    <xf numFmtId="0" fontId="23" fillId="0" borderId="0" xfId="18" applyFont="1" applyAlignment="1">
      <alignment horizontal="left" vertical="center"/>
    </xf>
    <xf numFmtId="0" fontId="7" fillId="0" borderId="0" xfId="18" applyFont="1" applyAlignment="1">
      <alignment horizontal="left" vertical="center"/>
    </xf>
    <xf numFmtId="0" fontId="20" fillId="0" borderId="0" xfId="18" applyFont="1" applyAlignment="1">
      <alignment vertical="center"/>
    </xf>
    <xf numFmtId="0" fontId="24" fillId="0" borderId="0" xfId="18" applyFont="1" applyAlignment="1">
      <alignment vertical="center"/>
    </xf>
    <xf numFmtId="0" fontId="25" fillId="0" borderId="1" xfId="18" applyFont="1" applyBorder="1" applyAlignment="1">
      <alignment horizontal="center" vertical="center"/>
    </xf>
    <xf numFmtId="0" fontId="25" fillId="0" borderId="0" xfId="18" applyFont="1" applyAlignment="1">
      <alignment vertical="center"/>
    </xf>
    <xf numFmtId="0" fontId="19" fillId="0" borderId="2" xfId="18" applyFont="1" applyBorder="1" applyAlignment="1">
      <alignment horizontal="center" vertical="center"/>
    </xf>
    <xf numFmtId="0" fontId="39" fillId="0" borderId="40" xfId="18" applyFont="1" applyBorder="1" applyAlignment="1">
      <alignment vertical="center"/>
    </xf>
    <xf numFmtId="3" fontId="20" fillId="0" borderId="2" xfId="18" applyNumberFormat="1" applyFont="1" applyBorder="1" applyAlignment="1">
      <alignment vertical="center"/>
    </xf>
    <xf numFmtId="0" fontId="19" fillId="0" borderId="3" xfId="18" applyFont="1" applyBorder="1" applyAlignment="1">
      <alignment horizontal="center" vertical="center"/>
    </xf>
    <xf numFmtId="0" fontId="39" fillId="0" borderId="41" xfId="18" applyFont="1" applyBorder="1" applyAlignment="1">
      <alignment vertical="center"/>
    </xf>
    <xf numFmtId="3" fontId="19" fillId="0" borderId="3" xfId="18" applyNumberFormat="1" applyFont="1" applyBorder="1" applyAlignment="1">
      <alignment vertical="center"/>
    </xf>
    <xf numFmtId="9" fontId="19" fillId="0" borderId="3" xfId="18" applyNumberFormat="1" applyFont="1" applyBorder="1" applyAlignment="1">
      <alignment horizontal="center" vertical="center"/>
    </xf>
    <xf numFmtId="3" fontId="20" fillId="0" borderId="0" xfId="18" applyNumberFormat="1" applyFont="1" applyAlignment="1">
      <alignment vertical="center"/>
    </xf>
    <xf numFmtId="0" fontId="20" fillId="0" borderId="3" xfId="18" applyFont="1" applyBorder="1" applyAlignment="1">
      <alignment horizontal="center" vertical="center"/>
    </xf>
    <xf numFmtId="0" fontId="20" fillId="0" borderId="41" xfId="18" applyFont="1" applyBorder="1" applyAlignment="1">
      <alignment vertical="center"/>
    </xf>
    <xf numFmtId="3" fontId="20" fillId="0" borderId="3" xfId="18" applyNumberFormat="1" applyFont="1" applyBorder="1" applyAlignment="1">
      <alignment vertical="center"/>
    </xf>
    <xf numFmtId="9" fontId="20" fillId="0" borderId="3" xfId="18" applyNumberFormat="1" applyFont="1" applyBorder="1" applyAlignment="1">
      <alignment horizontal="center" vertical="center"/>
    </xf>
    <xf numFmtId="0" fontId="20" fillId="0" borderId="3" xfId="18" quotePrefix="1" applyFont="1" applyBorder="1" applyAlignment="1">
      <alignment horizontal="center" vertical="center"/>
    </xf>
    <xf numFmtId="0" fontId="20" fillId="0" borderId="41" xfId="18" applyFont="1" applyBorder="1" applyAlignment="1">
      <alignment vertical="center" wrapText="1"/>
    </xf>
    <xf numFmtId="0" fontId="19" fillId="0" borderId="41" xfId="18" applyFont="1" applyBorder="1" applyAlignment="1">
      <alignment vertical="center"/>
    </xf>
    <xf numFmtId="0" fontId="19" fillId="0" borderId="0" xfId="18" applyFont="1" applyAlignment="1">
      <alignment vertical="center"/>
    </xf>
    <xf numFmtId="3" fontId="62" fillId="0" borderId="3" xfId="18" applyNumberFormat="1" applyFont="1" applyBorder="1" applyAlignment="1">
      <alignment vertical="center"/>
    </xf>
    <xf numFmtId="0" fontId="20" fillId="0" borderId="4" xfId="18" applyFont="1" applyBorder="1" applyAlignment="1">
      <alignment vertical="center"/>
    </xf>
    <xf numFmtId="0" fontId="20" fillId="0" borderId="42" xfId="18" applyFont="1" applyBorder="1" applyAlignment="1">
      <alignment vertical="center"/>
    </xf>
    <xf numFmtId="0" fontId="28" fillId="0" borderId="0" xfId="18" applyFont="1" applyAlignment="1">
      <alignment vertical="center"/>
    </xf>
    <xf numFmtId="9" fontId="7" fillId="0" borderId="2" xfId="0" applyNumberFormat="1" applyFont="1" applyBorder="1" applyAlignment="1">
      <alignment horizontal="center" vertical="center"/>
    </xf>
    <xf numFmtId="9" fontId="9" fillId="0" borderId="3" xfId="0" applyNumberFormat="1" applyFont="1" applyBorder="1" applyAlignment="1">
      <alignment horizontal="center" vertical="center"/>
    </xf>
    <xf numFmtId="0" fontId="67" fillId="0" borderId="0" xfId="12" applyFont="1" applyAlignment="1">
      <alignment horizontal="left" vertical="center" wrapText="1"/>
    </xf>
    <xf numFmtId="0" fontId="5" fillId="0" borderId="0" xfId="11" applyFont="1" applyAlignment="1">
      <alignment vertical="center"/>
    </xf>
    <xf numFmtId="3" fontId="9" fillId="0" borderId="0" xfId="0" applyNumberFormat="1" applyFont="1" applyAlignment="1">
      <alignment vertical="center"/>
    </xf>
    <xf numFmtId="0" fontId="8" fillId="0" borderId="0" xfId="18" applyFont="1" applyAlignment="1">
      <alignment horizontal="right" vertical="center"/>
    </xf>
    <xf numFmtId="0" fontId="35" fillId="0" borderId="0" xfId="16" applyFont="1" applyAlignment="1">
      <alignment horizontal="left" vertical="center"/>
    </xf>
    <xf numFmtId="0" fontId="65" fillId="0" borderId="0" xfId="35" applyFont="1" applyAlignment="1">
      <alignment vertical="center"/>
    </xf>
    <xf numFmtId="0" fontId="32" fillId="0" borderId="0" xfId="35" applyFont="1" applyAlignment="1">
      <alignment vertical="center"/>
    </xf>
    <xf numFmtId="0" fontId="7" fillId="0" borderId="0" xfId="33" applyFont="1" applyAlignment="1">
      <alignment horizontal="right" vertical="center"/>
    </xf>
    <xf numFmtId="0" fontId="65" fillId="0" borderId="0" xfId="35" applyFont="1" applyAlignment="1">
      <alignment vertical="center" wrapText="1"/>
    </xf>
    <xf numFmtId="0" fontId="8" fillId="0" borderId="0" xfId="33" applyFont="1" applyAlignment="1">
      <alignment vertical="center"/>
    </xf>
    <xf numFmtId="0" fontId="8" fillId="0" borderId="0" xfId="33" applyFont="1" applyAlignment="1">
      <alignment horizontal="right" vertical="center"/>
    </xf>
    <xf numFmtId="0" fontId="72" fillId="0" borderId="0" xfId="35" applyFont="1" applyAlignment="1">
      <alignment horizontal="center" vertical="center" wrapText="1"/>
    </xf>
    <xf numFmtId="0" fontId="73" fillId="0" borderId="0" xfId="35" applyFont="1" applyAlignment="1">
      <alignment horizontal="center" vertical="center" wrapText="1"/>
    </xf>
    <xf numFmtId="0" fontId="74" fillId="0" borderId="7" xfId="35" applyFont="1" applyBorder="1" applyAlignment="1">
      <alignment horizontal="center" vertical="center" wrapText="1"/>
    </xf>
    <xf numFmtId="0" fontId="11" fillId="0" borderId="7" xfId="35" applyFont="1" applyBorder="1" applyAlignment="1">
      <alignment horizontal="center" vertical="center" wrapText="1"/>
    </xf>
    <xf numFmtId="0" fontId="43" fillId="0" borderId="7" xfId="35" applyFont="1" applyBorder="1" applyAlignment="1">
      <alignment horizontal="center" vertical="center" wrapText="1"/>
    </xf>
    <xf numFmtId="0" fontId="75" fillId="0" borderId="7" xfId="35" applyFont="1" applyBorder="1" applyAlignment="1">
      <alignment horizontal="center" vertical="center" wrapText="1"/>
    </xf>
    <xf numFmtId="0" fontId="74" fillId="0" borderId="0" xfId="35" applyFont="1" applyAlignment="1">
      <alignment horizontal="center" vertical="center" wrapText="1"/>
    </xf>
    <xf numFmtId="0" fontId="55" fillId="0" borderId="11" xfId="35" applyFont="1" applyBorder="1" applyAlignment="1">
      <alignment horizontal="center" vertical="center" wrapText="1"/>
    </xf>
    <xf numFmtId="3" fontId="5" fillId="0" borderId="11" xfId="35" applyNumberFormat="1" applyFont="1" applyBorder="1" applyAlignment="1">
      <alignment horizontal="right" vertical="center" wrapText="1"/>
    </xf>
    <xf numFmtId="0" fontId="55" fillId="0" borderId="0" xfId="35" applyFont="1" applyAlignment="1">
      <alignment horizontal="center" vertical="center" wrapText="1"/>
    </xf>
    <xf numFmtId="0" fontId="6" fillId="2" borderId="3" xfId="33" applyFont="1" applyFill="1" applyBorder="1" applyAlignment="1">
      <alignment horizontal="center" vertical="center"/>
    </xf>
    <xf numFmtId="0" fontId="6" fillId="2" borderId="3" xfId="33" applyFont="1" applyFill="1" applyBorder="1" applyAlignment="1">
      <alignment horizontal="left" vertical="center"/>
    </xf>
    <xf numFmtId="3" fontId="6" fillId="2" borderId="3" xfId="33" applyNumberFormat="1" applyFont="1" applyFill="1" applyBorder="1" applyAlignment="1">
      <alignment horizontal="right" vertical="center"/>
    </xf>
    <xf numFmtId="3" fontId="6" fillId="0" borderId="3" xfId="35" applyNumberFormat="1" applyFont="1" applyBorder="1" applyAlignment="1">
      <alignment vertical="center" wrapText="1"/>
    </xf>
    <xf numFmtId="3" fontId="54" fillId="0" borderId="3" xfId="35" applyNumberFormat="1" applyFont="1" applyBorder="1" applyAlignment="1">
      <alignment vertical="center"/>
    </xf>
    <xf numFmtId="0" fontId="54" fillId="0" borderId="0" xfId="35" applyFont="1" applyAlignment="1">
      <alignment vertical="center"/>
    </xf>
    <xf numFmtId="0" fontId="6" fillId="2" borderId="3" xfId="33" applyFont="1" applyFill="1" applyBorder="1" applyAlignment="1">
      <alignment horizontal="left" vertical="center" wrapText="1"/>
    </xf>
    <xf numFmtId="3" fontId="6" fillId="2" borderId="3" xfId="5" applyNumberFormat="1" applyFont="1" applyFill="1" applyBorder="1" applyAlignment="1">
      <alignment horizontal="right" vertical="center"/>
    </xf>
    <xf numFmtId="0" fontId="54" fillId="0" borderId="4" xfId="35" applyFont="1" applyBorder="1" applyAlignment="1">
      <alignment vertical="center"/>
    </xf>
    <xf numFmtId="0" fontId="76" fillId="0" borderId="0" xfId="35" applyFont="1" applyAlignment="1">
      <alignment vertical="center"/>
    </xf>
    <xf numFmtId="0" fontId="55" fillId="0" borderId="0" xfId="35" applyFont="1" applyAlignment="1">
      <alignment horizontal="right" vertical="center"/>
    </xf>
    <xf numFmtId="0" fontId="74" fillId="0" borderId="1" xfId="35" applyFont="1" applyBorder="1" applyAlignment="1">
      <alignment horizontal="center" vertical="center" wrapText="1"/>
    </xf>
    <xf numFmtId="0" fontId="11" fillId="0" borderId="1" xfId="35" applyFont="1" applyBorder="1" applyAlignment="1">
      <alignment horizontal="center" vertical="center" wrapText="1"/>
    </xf>
    <xf numFmtId="0" fontId="58" fillId="0" borderId="1" xfId="35" applyFont="1" applyBorder="1" applyAlignment="1">
      <alignment horizontal="center" vertical="center" wrapText="1"/>
    </xf>
    <xf numFmtId="0" fontId="58" fillId="0" borderId="0" xfId="35" applyFont="1" applyAlignment="1">
      <alignment horizontal="center" vertical="center" wrapText="1"/>
    </xf>
    <xf numFmtId="0" fontId="55" fillId="0" borderId="2" xfId="35" applyFont="1" applyBorder="1" applyAlignment="1">
      <alignment horizontal="center" vertical="center" wrapText="1"/>
    </xf>
    <xf numFmtId="3" fontId="5" fillId="0" borderId="2" xfId="35" applyNumberFormat="1" applyFont="1" applyBorder="1" applyAlignment="1">
      <alignment horizontal="right" vertical="center" wrapText="1"/>
    </xf>
    <xf numFmtId="0" fontId="54" fillId="0" borderId="3" xfId="35" applyFont="1" applyBorder="1" applyAlignment="1">
      <alignment horizontal="center" vertical="center"/>
    </xf>
    <xf numFmtId="0" fontId="54" fillId="0" borderId="3" xfId="35" applyFont="1" applyBorder="1" applyAlignment="1">
      <alignment vertical="center"/>
    </xf>
    <xf numFmtId="0" fontId="54" fillId="0" borderId="3" xfId="35" applyFont="1" applyBorder="1" applyAlignment="1">
      <alignment vertical="center" wrapText="1"/>
    </xf>
    <xf numFmtId="3" fontId="69" fillId="0" borderId="3" xfId="30" applyNumberFormat="1" applyFont="1" applyFill="1" applyBorder="1" applyAlignment="1">
      <alignment horizontal="right" vertical="center" wrapText="1"/>
    </xf>
    <xf numFmtId="168" fontId="69" fillId="0" borderId="3" xfId="30" applyNumberFormat="1" applyFont="1" applyFill="1" applyBorder="1" applyAlignment="1">
      <alignment horizontal="right" vertical="center" wrapText="1"/>
    </xf>
    <xf numFmtId="168" fontId="69" fillId="0" borderId="4" xfId="30" applyNumberFormat="1" applyFont="1" applyFill="1" applyBorder="1" applyAlignment="1">
      <alignment horizontal="right" vertical="center" wrapText="1"/>
    </xf>
    <xf numFmtId="168" fontId="69" fillId="0" borderId="9" xfId="30" applyNumberFormat="1" applyFont="1" applyFill="1" applyBorder="1" applyAlignment="1">
      <alignment horizontal="right" vertical="center" wrapText="1"/>
    </xf>
    <xf numFmtId="0" fontId="5" fillId="0" borderId="0" xfId="36" applyFont="1" applyAlignment="1">
      <alignment horizontal="centerContinuous" vertical="center"/>
    </xf>
    <xf numFmtId="0" fontId="6" fillId="0" borderId="0" xfId="36" applyFont="1" applyAlignment="1">
      <alignment horizontal="centerContinuous" vertical="center"/>
    </xf>
    <xf numFmtId="0" fontId="7" fillId="0" borderId="0" xfId="36" applyFont="1" applyAlignment="1">
      <alignment horizontal="centerContinuous" vertical="center"/>
    </xf>
    <xf numFmtId="0" fontId="7" fillId="0" borderId="0" xfId="36" applyFont="1" applyAlignment="1">
      <alignment vertical="center"/>
    </xf>
    <xf numFmtId="0" fontId="7" fillId="0" borderId="0" xfId="36" applyFont="1" applyAlignment="1">
      <alignment horizontal="right" vertical="center"/>
    </xf>
    <xf numFmtId="0" fontId="6" fillId="0" borderId="0" xfId="36" applyFont="1" applyAlignment="1">
      <alignment vertical="center"/>
    </xf>
    <xf numFmtId="0" fontId="8" fillId="0" borderId="0" xfId="36" applyFont="1" applyAlignment="1">
      <alignment horizontal="center" vertical="center"/>
    </xf>
    <xf numFmtId="0" fontId="8" fillId="0" borderId="0" xfId="36" applyFont="1" applyAlignment="1">
      <alignment horizontal="left" vertical="center"/>
    </xf>
    <xf numFmtId="0" fontId="9" fillId="0" borderId="0" xfId="36" applyFont="1" applyAlignment="1">
      <alignment vertical="center"/>
    </xf>
    <xf numFmtId="0" fontId="8" fillId="0" borderId="0" xfId="36" applyFont="1" applyAlignment="1">
      <alignment horizontal="right" vertical="center"/>
    </xf>
    <xf numFmtId="0" fontId="10" fillId="0" borderId="0" xfId="36" applyFont="1" applyAlignment="1">
      <alignment vertical="center"/>
    </xf>
    <xf numFmtId="0" fontId="15" fillId="0" borderId="1" xfId="36" applyFont="1" applyBorder="1" applyAlignment="1">
      <alignment horizontal="center" vertical="center"/>
    </xf>
    <xf numFmtId="0" fontId="15" fillId="0" borderId="1" xfId="36" quotePrefix="1" applyFont="1" applyBorder="1" applyAlignment="1">
      <alignment horizontal="center" vertical="center"/>
    </xf>
    <xf numFmtId="0" fontId="15" fillId="0" borderId="0" xfId="36" applyFont="1" applyAlignment="1">
      <alignment vertical="center"/>
    </xf>
    <xf numFmtId="0" fontId="7" fillId="0" borderId="31" xfId="36" applyFont="1" applyBorder="1" applyAlignment="1">
      <alignment horizontal="center" vertical="center"/>
    </xf>
    <xf numFmtId="0" fontId="7" fillId="0" borderId="31" xfId="36" applyFont="1" applyBorder="1" applyAlignment="1">
      <alignment vertical="center"/>
    </xf>
    <xf numFmtId="168" fontId="7" fillId="0" borderId="0" xfId="36" applyNumberFormat="1" applyFont="1" applyAlignment="1">
      <alignment vertical="center"/>
    </xf>
    <xf numFmtId="0" fontId="7" fillId="2" borderId="29" xfId="36" applyFont="1" applyFill="1" applyBorder="1" applyAlignment="1">
      <alignment horizontal="center" vertical="center"/>
    </xf>
    <xf numFmtId="0" fontId="16" fillId="2" borderId="29" xfId="36" applyFont="1" applyFill="1" applyBorder="1" applyAlignment="1">
      <alignment vertical="center"/>
    </xf>
    <xf numFmtId="168" fontId="7" fillId="2" borderId="0" xfId="36" applyNumberFormat="1" applyFont="1" applyFill="1" applyAlignment="1">
      <alignment vertical="center"/>
    </xf>
    <xf numFmtId="0" fontId="7" fillId="2" borderId="0" xfId="36" applyFont="1" applyFill="1" applyAlignment="1">
      <alignment vertical="center"/>
    </xf>
    <xf numFmtId="0" fontId="6" fillId="2" borderId="29" xfId="36" applyFont="1" applyFill="1" applyBorder="1" applyAlignment="1">
      <alignment horizontal="center" vertical="center"/>
    </xf>
    <xf numFmtId="0" fontId="6" fillId="2" borderId="29" xfId="36" applyFont="1" applyFill="1" applyBorder="1" applyAlignment="1" applyProtection="1">
      <alignment horizontal="left" vertical="center" wrapText="1"/>
      <protection locked="0"/>
    </xf>
    <xf numFmtId="168" fontId="5" fillId="2" borderId="29" xfId="5" quotePrefix="1" applyNumberFormat="1" applyFont="1" applyFill="1" applyBorder="1" applyAlignment="1">
      <alignment horizontal="center" vertical="center"/>
    </xf>
    <xf numFmtId="0" fontId="9" fillId="2" borderId="0" xfId="36" applyFont="1" applyFill="1" applyAlignment="1">
      <alignment vertical="center"/>
    </xf>
    <xf numFmtId="0" fontId="6" fillId="0" borderId="29" xfId="36" applyFont="1" applyBorder="1" applyAlignment="1" applyProtection="1">
      <alignment horizontal="left" vertical="center" wrapText="1"/>
      <protection locked="0"/>
    </xf>
    <xf numFmtId="168" fontId="6" fillId="0" borderId="29" xfId="5" applyNumberFormat="1" applyFont="1" applyFill="1" applyBorder="1" applyAlignment="1">
      <alignment vertical="center"/>
    </xf>
    <xf numFmtId="168" fontId="5" fillId="0" borderId="29" xfId="5" quotePrefix="1" applyNumberFormat="1" applyFont="1" applyFill="1" applyBorder="1" applyAlignment="1">
      <alignment horizontal="center" vertical="center"/>
    </xf>
    <xf numFmtId="168" fontId="6" fillId="2" borderId="29" xfId="5" quotePrefix="1" applyNumberFormat="1" applyFont="1" applyFill="1" applyBorder="1" applyAlignment="1">
      <alignment horizontal="center" vertical="center"/>
    </xf>
    <xf numFmtId="164" fontId="9" fillId="2" borderId="0" xfId="30" applyFont="1" applyFill="1" applyAlignment="1">
      <alignment vertical="center"/>
    </xf>
    <xf numFmtId="168" fontId="9" fillId="2" borderId="0" xfId="36" applyNumberFormat="1" applyFont="1" applyFill="1" applyAlignment="1">
      <alignment vertical="center"/>
    </xf>
    <xf numFmtId="168" fontId="6" fillId="2" borderId="29" xfId="40" applyNumberFormat="1" applyFont="1" applyFill="1" applyBorder="1" applyAlignment="1">
      <alignment horizontal="left" vertical="center" wrapText="1"/>
    </xf>
    <xf numFmtId="0" fontId="6" fillId="0" borderId="29" xfId="36" applyFont="1" applyBorder="1" applyAlignment="1">
      <alignment horizontal="left" vertical="center" wrapText="1"/>
    </xf>
    <xf numFmtId="0" fontId="6" fillId="0" borderId="29" xfId="36" applyFont="1" applyBorder="1" applyAlignment="1">
      <alignment horizontal="center" vertical="center"/>
    </xf>
    <xf numFmtId="0" fontId="5" fillId="2" borderId="29" xfId="36" applyFont="1" applyFill="1" applyBorder="1" applyAlignment="1">
      <alignment horizontal="center" vertical="center"/>
    </xf>
    <xf numFmtId="168" fontId="5" fillId="2" borderId="29" xfId="40" applyNumberFormat="1" applyFont="1" applyFill="1" applyBorder="1" applyAlignment="1">
      <alignment horizontal="left" vertical="center" wrapText="1"/>
    </xf>
    <xf numFmtId="0" fontId="5" fillId="2" borderId="32" xfId="36" applyFont="1" applyFill="1" applyBorder="1" applyAlignment="1">
      <alignment horizontal="center" vertical="center"/>
    </xf>
    <xf numFmtId="168" fontId="5" fillId="2" borderId="32" xfId="40" applyNumberFormat="1" applyFont="1" applyFill="1" applyBorder="1" applyAlignment="1">
      <alignment horizontal="left" vertical="center" wrapText="1"/>
    </xf>
    <xf numFmtId="0" fontId="8" fillId="0" borderId="0" xfId="36" applyFont="1" applyAlignment="1">
      <alignment vertical="center"/>
    </xf>
    <xf numFmtId="0" fontId="7" fillId="0" borderId="0" xfId="22" applyFont="1" applyAlignment="1">
      <alignment vertical="center"/>
    </xf>
    <xf numFmtId="0" fontId="38" fillId="0" borderId="0" xfId="22" applyFont="1"/>
    <xf numFmtId="0" fontId="56" fillId="0" borderId="0" xfId="22" applyFont="1"/>
    <xf numFmtId="0" fontId="8" fillId="0" borderId="0" xfId="22" applyFont="1" applyAlignment="1">
      <alignment horizontal="center" vertical="center" wrapText="1"/>
    </xf>
    <xf numFmtId="0" fontId="6" fillId="0" borderId="0" xfId="22" applyFont="1"/>
    <xf numFmtId="176" fontId="27" fillId="0" borderId="0" xfId="30" applyNumberFormat="1" applyFont="1" applyFill="1" applyAlignment="1">
      <alignment horizontal="center" vertical="center" wrapText="1"/>
    </xf>
    <xf numFmtId="176" fontId="12" fillId="0" borderId="0" xfId="30" applyNumberFormat="1" applyFont="1" applyFill="1" applyAlignment="1">
      <alignment horizontal="center" vertical="center" wrapText="1"/>
    </xf>
    <xf numFmtId="176" fontId="56" fillId="0" borderId="0" xfId="30" applyNumberFormat="1" applyFont="1" applyFill="1"/>
    <xf numFmtId="0" fontId="56" fillId="0" borderId="1" xfId="22" applyFont="1" applyBorder="1" applyAlignment="1">
      <alignment horizontal="center" vertical="center" wrapText="1"/>
    </xf>
    <xf numFmtId="0" fontId="38" fillId="0" borderId="2" xfId="22" applyFont="1" applyBorder="1" applyAlignment="1">
      <alignment horizontal="center" vertical="center" wrapText="1"/>
    </xf>
    <xf numFmtId="168" fontId="38" fillId="0" borderId="2" xfId="5" applyNumberFormat="1" applyFont="1" applyFill="1" applyBorder="1" applyAlignment="1">
      <alignment horizontal="center" vertical="center" wrapText="1"/>
    </xf>
    <xf numFmtId="49" fontId="38" fillId="0" borderId="3" xfId="23" quotePrefix="1" applyNumberFormat="1" applyFont="1" applyBorder="1" applyAlignment="1">
      <alignment horizontal="center" vertical="center" wrapText="1"/>
    </xf>
    <xf numFmtId="0" fontId="38" fillId="0" borderId="3" xfId="37" applyFont="1" applyBorder="1" applyAlignment="1">
      <alignment horizontal="center" vertical="center" wrapText="1"/>
    </xf>
    <xf numFmtId="0" fontId="38" fillId="0" borderId="3" xfId="22" applyFont="1" applyBorder="1"/>
    <xf numFmtId="0" fontId="38" fillId="0" borderId="3" xfId="22" applyFont="1" applyBorder="1" applyAlignment="1">
      <alignment horizontal="center" vertical="center"/>
    </xf>
    <xf numFmtId="0" fontId="38" fillId="0" borderId="3" xfId="22" applyFont="1" applyBorder="1" applyAlignment="1">
      <alignment horizontal="center"/>
    </xf>
    <xf numFmtId="0" fontId="38" fillId="0" borderId="3" xfId="36" applyFont="1" applyBorder="1" applyAlignment="1">
      <alignment horizontal="left" vertical="center" wrapText="1"/>
    </xf>
    <xf numFmtId="49" fontId="38" fillId="0" borderId="3" xfId="8" applyNumberFormat="1" applyFont="1" applyBorder="1" applyAlignment="1">
      <alignment horizontal="center" vertical="center" wrapText="1"/>
    </xf>
    <xf numFmtId="0" fontId="56" fillId="0" borderId="3" xfId="22" applyFont="1" applyBorder="1" applyAlignment="1">
      <alignment horizontal="center" vertical="center"/>
    </xf>
    <xf numFmtId="3" fontId="56" fillId="0" borderId="3" xfId="8" applyNumberFormat="1" applyFont="1" applyBorder="1" applyAlignment="1">
      <alignment horizontal="left" vertical="center" wrapText="1"/>
    </xf>
    <xf numFmtId="0" fontId="56" fillId="0" borderId="3" xfId="38" applyFont="1" applyBorder="1" applyAlignment="1">
      <alignment horizontal="center" vertical="center"/>
    </xf>
    <xf numFmtId="178" fontId="56" fillId="0" borderId="3" xfId="26" applyNumberFormat="1" applyFont="1" applyBorder="1" applyAlignment="1">
      <alignment horizontal="center" vertical="center" wrapText="1"/>
    </xf>
    <xf numFmtId="0" fontId="56" fillId="0" borderId="3" xfId="22" applyFont="1" applyBorder="1" applyAlignment="1">
      <alignment horizontal="center"/>
    </xf>
    <xf numFmtId="168" fontId="56" fillId="0" borderId="3" xfId="5" applyNumberFormat="1" applyFont="1" applyFill="1" applyBorder="1" applyAlignment="1">
      <alignment horizontal="center" vertical="center"/>
    </xf>
    <xf numFmtId="168" fontId="56" fillId="0" borderId="3" xfId="5" applyNumberFormat="1" applyFont="1" applyFill="1" applyBorder="1" applyAlignment="1">
      <alignment horizontal="center" vertical="center" wrapText="1"/>
    </xf>
    <xf numFmtId="0" fontId="56" fillId="0" borderId="3" xfId="8" applyFont="1" applyBorder="1" applyAlignment="1">
      <alignment horizontal="left" vertical="center" wrapText="1"/>
    </xf>
    <xf numFmtId="3" fontId="56" fillId="0" borderId="0" xfId="22" applyNumberFormat="1" applyFont="1"/>
    <xf numFmtId="49" fontId="56" fillId="0" borderId="3" xfId="27" applyNumberFormat="1" applyFont="1" applyBorder="1" applyAlignment="1">
      <alignment horizontal="left" vertical="center" wrapText="1"/>
    </xf>
    <xf numFmtId="0" fontId="38" fillId="0" borderId="3" xfId="36" applyFont="1" applyBorder="1" applyAlignment="1">
      <alignment horizontal="center" vertical="center" wrapText="1"/>
    </xf>
    <xf numFmtId="0" fontId="69" fillId="0" borderId="3" xfId="0" applyFont="1" applyBorder="1" applyAlignment="1">
      <alignment horizontal="center" vertical="center" wrapText="1"/>
    </xf>
    <xf numFmtId="3" fontId="69" fillId="0" borderId="3" xfId="0" applyNumberFormat="1" applyFont="1" applyBorder="1" applyAlignment="1">
      <alignment horizontal="right" vertical="center" wrapText="1"/>
    </xf>
    <xf numFmtId="0" fontId="69" fillId="0" borderId="3" xfId="0" applyFont="1" applyBorder="1" applyAlignment="1">
      <alignment horizontal="left" vertical="center" wrapText="1"/>
    </xf>
    <xf numFmtId="3" fontId="77" fillId="0" borderId="3" xfId="0" applyNumberFormat="1" applyFont="1" applyBorder="1" applyAlignment="1">
      <alignment horizontal="right" vertical="center" wrapText="1"/>
    </xf>
    <xf numFmtId="0" fontId="69" fillId="0" borderId="3" xfId="41" applyFont="1" applyBorder="1" applyAlignment="1">
      <alignment horizontal="center" vertical="center"/>
    </xf>
    <xf numFmtId="0" fontId="69" fillId="0" borderId="3" xfId="41" applyFont="1" applyBorder="1" applyAlignment="1">
      <alignment vertical="center"/>
    </xf>
    <xf numFmtId="3" fontId="69" fillId="0" borderId="3" xfId="42" applyNumberFormat="1" applyFont="1" applyBorder="1" applyAlignment="1">
      <alignment vertical="center"/>
    </xf>
    <xf numFmtId="0" fontId="69" fillId="0" borderId="3" xfId="22" applyFont="1" applyBorder="1" applyAlignment="1">
      <alignment horizontal="center" vertical="center" wrapText="1"/>
    </xf>
    <xf numFmtId="3" fontId="69" fillId="0" borderId="3" xfId="22" applyNumberFormat="1" applyFont="1" applyBorder="1" applyAlignment="1">
      <alignment vertical="center" wrapText="1"/>
    </xf>
    <xf numFmtId="0" fontId="69" fillId="0" borderId="3" xfId="29" applyFont="1" applyBorder="1" applyAlignment="1">
      <alignment horizontal="center" vertical="center" wrapText="1"/>
    </xf>
    <xf numFmtId="0" fontId="69" fillId="0" borderId="3" xfId="43" applyFont="1" applyBorder="1" applyAlignment="1">
      <alignment horizontal="center" vertical="center" wrapText="1"/>
    </xf>
    <xf numFmtId="0" fontId="69" fillId="0" borderId="3" xfId="0" applyFont="1" applyBorder="1" applyAlignment="1">
      <alignment vertical="center" wrapText="1"/>
    </xf>
    <xf numFmtId="0" fontId="69" fillId="0" borderId="4" xfId="0" applyFont="1" applyBorder="1" applyAlignment="1">
      <alignment vertical="center" wrapText="1"/>
    </xf>
    <xf numFmtId="0" fontId="69" fillId="0" borderId="4" xfId="0" applyFont="1" applyBorder="1" applyAlignment="1">
      <alignment horizontal="center" vertical="center" wrapText="1"/>
    </xf>
    <xf numFmtId="3" fontId="69" fillId="0" borderId="4" xfId="0" applyNumberFormat="1" applyFont="1" applyBorder="1" applyAlignment="1">
      <alignment horizontal="right" vertical="center" wrapText="1"/>
    </xf>
    <xf numFmtId="0" fontId="77" fillId="0" borderId="9" xfId="0" applyFont="1" applyBorder="1" applyAlignment="1">
      <alignment vertical="center" wrapText="1"/>
    </xf>
    <xf numFmtId="0" fontId="77" fillId="0" borderId="9" xfId="0" applyFont="1" applyBorder="1" applyAlignment="1">
      <alignment horizontal="center" vertical="center" wrapText="1"/>
    </xf>
    <xf numFmtId="3" fontId="69" fillId="0" borderId="9" xfId="0" applyNumberFormat="1" applyFont="1" applyBorder="1" applyAlignment="1">
      <alignment horizontal="right" vertical="center" wrapText="1"/>
    </xf>
    <xf numFmtId="0" fontId="77" fillId="0" borderId="3" xfId="0" applyFont="1" applyBorder="1" applyAlignment="1">
      <alignment horizontal="left" vertical="center" wrapText="1"/>
    </xf>
    <xf numFmtId="0" fontId="69" fillId="0" borderId="9" xfId="0" applyFont="1" applyBorder="1" applyAlignment="1">
      <alignment vertical="center" wrapText="1"/>
    </xf>
    <xf numFmtId="0" fontId="77" fillId="0" borderId="3" xfId="0" applyFont="1" applyBorder="1" applyAlignment="1">
      <alignment horizontal="center" vertical="center" wrapText="1"/>
    </xf>
    <xf numFmtId="0" fontId="77" fillId="0" borderId="3" xfId="29" applyFont="1" applyBorder="1" applyAlignment="1">
      <alignment horizontal="center" vertical="center" wrapText="1"/>
    </xf>
    <xf numFmtId="0" fontId="77" fillId="0" borderId="3" xfId="44" applyFont="1" applyBorder="1" applyAlignment="1">
      <alignment horizontal="left" vertical="center" wrapText="1" shrinkToFit="1"/>
    </xf>
    <xf numFmtId="0" fontId="69" fillId="0" borderId="3" xfId="29" applyFont="1" applyBorder="1" applyAlignment="1">
      <alignment horizontal="left" vertical="center" wrapText="1"/>
    </xf>
    <xf numFmtId="0" fontId="56" fillId="0" borderId="0" xfId="22" applyFont="1" applyAlignment="1">
      <alignment horizontal="center" vertical="center"/>
    </xf>
    <xf numFmtId="0" fontId="56" fillId="0" borderId="0" xfId="22" applyFont="1" applyAlignment="1">
      <alignment horizontal="center"/>
    </xf>
    <xf numFmtId="0" fontId="56" fillId="0" borderId="3" xfId="36" quotePrefix="1" applyFont="1" applyBorder="1" applyAlignment="1">
      <alignment horizontal="center" vertical="center" wrapText="1"/>
    </xf>
    <xf numFmtId="0" fontId="56" fillId="0" borderId="3" xfId="36" applyFont="1" applyBorder="1" applyAlignment="1">
      <alignment horizontal="left" vertical="center" wrapText="1"/>
    </xf>
    <xf numFmtId="0" fontId="56" fillId="0" borderId="3" xfId="36" applyFont="1" applyBorder="1" applyAlignment="1">
      <alignment vertical="center" wrapText="1"/>
    </xf>
    <xf numFmtId="0" fontId="56" fillId="0" borderId="3" xfId="36" applyFont="1" applyBorder="1" applyAlignment="1">
      <alignment horizontal="center" vertical="center" wrapText="1"/>
    </xf>
    <xf numFmtId="0" fontId="78" fillId="0" borderId="0" xfId="22" applyFont="1"/>
    <xf numFmtId="3" fontId="56" fillId="0" borderId="3" xfId="36" applyNumberFormat="1" applyFont="1" applyBorder="1" applyAlignment="1">
      <alignment vertical="center" wrapText="1"/>
    </xf>
    <xf numFmtId="3" fontId="56" fillId="0" borderId="3" xfId="36" applyNumberFormat="1" applyFont="1" applyBorder="1" applyAlignment="1">
      <alignment horizontal="right" vertical="center" wrapText="1"/>
    </xf>
    <xf numFmtId="0" fontId="56" fillId="0" borderId="3" xfId="27" applyFont="1" applyBorder="1" applyAlignment="1">
      <alignment horizontal="center" vertical="center" wrapText="1"/>
    </xf>
    <xf numFmtId="0" fontId="38" fillId="0" borderId="3" xfId="6" applyFont="1" applyBorder="1" applyAlignment="1">
      <alignment horizontal="left" vertical="center" wrapText="1"/>
    </xf>
    <xf numFmtId="0" fontId="79" fillId="0" borderId="0" xfId="22" applyFont="1"/>
    <xf numFmtId="0" fontId="56" fillId="0" borderId="3" xfId="22" applyFont="1" applyBorder="1" applyAlignment="1">
      <alignment horizontal="center" vertical="center" wrapText="1"/>
    </xf>
    <xf numFmtId="3" fontId="56" fillId="0" borderId="3" xfId="22" applyNumberFormat="1" applyFont="1" applyBorder="1" applyAlignment="1">
      <alignment horizontal="right" vertical="center" wrapText="1"/>
    </xf>
    <xf numFmtId="3" fontId="56" fillId="0" borderId="3" xfId="5" applyNumberFormat="1" applyFont="1" applyFill="1" applyBorder="1" applyAlignment="1">
      <alignment horizontal="right" vertical="center" wrapText="1"/>
    </xf>
    <xf numFmtId="0" fontId="56" fillId="0" borderId="3" xfId="22" applyFont="1" applyBorder="1" applyAlignment="1">
      <alignment vertical="center" wrapText="1"/>
    </xf>
    <xf numFmtId="49" fontId="56" fillId="0" borderId="3" xfId="27" applyNumberFormat="1" applyFont="1" applyBorder="1" applyAlignment="1">
      <alignment horizontal="center" vertical="center" wrapText="1"/>
    </xf>
    <xf numFmtId="0" fontId="56" fillId="0" borderId="3" xfId="39" applyFont="1" applyBorder="1" applyAlignment="1">
      <alignment horizontal="left" vertical="center" wrapText="1"/>
    </xf>
    <xf numFmtId="0" fontId="38" fillId="0" borderId="3" xfId="37" applyFont="1" applyBorder="1" applyAlignment="1">
      <alignment horizontal="left" vertical="center" wrapText="1"/>
    </xf>
    <xf numFmtId="0" fontId="38" fillId="0" borderId="3" xfId="8" applyFont="1" applyBorder="1" applyAlignment="1">
      <alignment horizontal="center" vertical="center" wrapText="1"/>
    </xf>
    <xf numFmtId="178" fontId="38" fillId="0" borderId="3" xfId="40" applyNumberFormat="1" applyFont="1" applyFill="1" applyBorder="1" applyAlignment="1">
      <alignment vertical="center" wrapText="1"/>
    </xf>
    <xf numFmtId="3" fontId="38" fillId="0" borderId="3" xfId="8" applyNumberFormat="1" applyFont="1" applyBorder="1" applyAlignment="1">
      <alignment horizontal="left" vertical="center" wrapText="1"/>
    </xf>
    <xf numFmtId="0" fontId="38" fillId="0" borderId="3" xfId="38" applyFont="1" applyBorder="1" applyAlignment="1">
      <alignment horizontal="center" vertical="center"/>
    </xf>
    <xf numFmtId="178" fontId="38" fillId="0" borderId="3" xfId="26" applyNumberFormat="1" applyFont="1" applyBorder="1" applyAlignment="1">
      <alignment horizontal="center" vertical="center" wrapText="1"/>
    </xf>
    <xf numFmtId="168" fontId="38" fillId="0" borderId="3" xfId="5" applyNumberFormat="1" applyFont="1" applyFill="1" applyBorder="1" applyAlignment="1">
      <alignment horizontal="center" vertical="center"/>
    </xf>
    <xf numFmtId="0" fontId="79" fillId="0" borderId="3" xfId="22" applyFont="1" applyBorder="1" applyAlignment="1">
      <alignment horizontal="center" vertical="center"/>
    </xf>
    <xf numFmtId="3" fontId="79" fillId="0" borderId="3" xfId="8" applyNumberFormat="1" applyFont="1" applyBorder="1" applyAlignment="1">
      <alignment horizontal="left" vertical="center" wrapText="1"/>
    </xf>
    <xf numFmtId="0" fontId="79" fillId="0" borderId="3" xfId="38" applyFont="1" applyBorder="1" applyAlignment="1">
      <alignment horizontal="center" vertical="center"/>
    </xf>
    <xf numFmtId="178" fontId="79" fillId="0" borderId="3" xfId="26" applyNumberFormat="1" applyFont="1" applyBorder="1" applyAlignment="1">
      <alignment horizontal="center" vertical="center" wrapText="1"/>
    </xf>
    <xf numFmtId="0" fontId="79" fillId="0" borderId="3" xfId="22" applyFont="1" applyBorder="1" applyAlignment="1">
      <alignment horizontal="center"/>
    </xf>
    <xf numFmtId="168" fontId="79" fillId="0" borderId="3" xfId="5" applyNumberFormat="1" applyFont="1" applyFill="1" applyBorder="1" applyAlignment="1">
      <alignment horizontal="center" vertical="center"/>
    </xf>
    <xf numFmtId="168" fontId="79" fillId="0" borderId="3" xfId="5" applyNumberFormat="1" applyFont="1" applyFill="1" applyBorder="1" applyAlignment="1">
      <alignment horizontal="center" vertical="center" wrapText="1"/>
    </xf>
    <xf numFmtId="3" fontId="79" fillId="0" borderId="3" xfId="8" applyNumberFormat="1" applyFont="1" applyBorder="1" applyAlignment="1">
      <alignment horizontal="center" vertical="center" wrapText="1"/>
    </xf>
    <xf numFmtId="0" fontId="38" fillId="0" borderId="3" xfId="8" applyFont="1" applyBorder="1" applyAlignment="1">
      <alignment horizontal="left" vertical="center" wrapText="1"/>
    </xf>
    <xf numFmtId="0" fontId="56" fillId="0" borderId="3" xfId="8" applyFont="1" applyBorder="1" applyAlignment="1">
      <alignment horizontal="center" vertical="center" wrapText="1"/>
    </xf>
    <xf numFmtId="0" fontId="56" fillId="0" borderId="3" xfId="29" applyFont="1" applyBorder="1" applyAlignment="1">
      <alignment horizontal="left" vertical="center" wrapText="1"/>
    </xf>
    <xf numFmtId="0" fontId="56" fillId="0" borderId="3" xfId="29" applyFont="1" applyBorder="1" applyAlignment="1">
      <alignment horizontal="center" vertical="center" wrapText="1"/>
    </xf>
    <xf numFmtId="0" fontId="56" fillId="0" borderId="3" xfId="6" applyFont="1" applyBorder="1" applyAlignment="1">
      <alignment horizontal="left" vertical="center" wrapText="1"/>
    </xf>
    <xf numFmtId="3" fontId="56" fillId="0" borderId="3" xfId="22" applyNumberFormat="1" applyFont="1" applyBorder="1" applyAlignment="1">
      <alignment vertical="center" wrapText="1"/>
    </xf>
    <xf numFmtId="0" fontId="79" fillId="0" borderId="3" xfId="36" quotePrefix="1" applyFont="1" applyBorder="1" applyAlignment="1">
      <alignment horizontal="center" vertical="center" wrapText="1"/>
    </xf>
    <xf numFmtId="0" fontId="77" fillId="0" borderId="3" xfId="0" applyFont="1" applyBorder="1" applyAlignment="1">
      <alignment vertical="center" wrapText="1"/>
    </xf>
    <xf numFmtId="0" fontId="56" fillId="0" borderId="3" xfId="22" quotePrefix="1" applyFont="1" applyBorder="1" applyAlignment="1">
      <alignment horizontal="center" vertical="center"/>
    </xf>
    <xf numFmtId="178" fontId="56" fillId="0" borderId="3" xfId="40" applyNumberFormat="1" applyFont="1" applyFill="1" applyBorder="1" applyAlignment="1">
      <alignment horizontal="center" vertical="center" wrapText="1"/>
    </xf>
    <xf numFmtId="178" fontId="38" fillId="0" borderId="3" xfId="40" applyNumberFormat="1" applyFont="1" applyFill="1" applyBorder="1" applyAlignment="1">
      <alignment horizontal="center" vertical="center" wrapText="1"/>
    </xf>
    <xf numFmtId="0" fontId="56" fillId="0" borderId="3" xfId="37" applyFont="1" applyBorder="1" applyAlignment="1">
      <alignment horizontal="center" vertical="center" wrapText="1"/>
    </xf>
    <xf numFmtId="0" fontId="38" fillId="0" borderId="3" xfId="22" applyFont="1" applyBorder="1" applyAlignment="1">
      <alignment horizontal="center" vertical="center" wrapText="1"/>
    </xf>
    <xf numFmtId="0" fontId="38" fillId="0" borderId="3" xfId="22" applyFont="1" applyBorder="1" applyAlignment="1">
      <alignment horizontal="left" vertical="center" wrapText="1"/>
    </xf>
    <xf numFmtId="3" fontId="38" fillId="0" borderId="3" xfId="23" applyNumberFormat="1" applyFont="1" applyBorder="1" applyAlignment="1">
      <alignment horizontal="left" vertical="center" wrapText="1"/>
    </xf>
    <xf numFmtId="168" fontId="81" fillId="0" borderId="3" xfId="5" applyNumberFormat="1" applyFont="1" applyFill="1" applyBorder="1" applyAlignment="1">
      <alignment horizontal="center" vertical="center" wrapText="1"/>
    </xf>
    <xf numFmtId="0" fontId="56" fillId="0" borderId="4" xfId="22" applyFont="1" applyBorder="1" applyAlignment="1">
      <alignment horizontal="center" vertical="center"/>
    </xf>
    <xf numFmtId="0" fontId="56" fillId="0" borderId="4" xfId="22" applyFont="1" applyBorder="1" applyAlignment="1">
      <alignment horizontal="center"/>
    </xf>
    <xf numFmtId="0" fontId="56" fillId="0" borderId="4" xfId="22" applyFont="1" applyBorder="1"/>
    <xf numFmtId="168" fontId="56" fillId="0" borderId="4" xfId="5" applyNumberFormat="1" applyFont="1" applyFill="1" applyBorder="1" applyAlignment="1">
      <alignment horizontal="center" vertical="center"/>
    </xf>
    <xf numFmtId="0" fontId="78" fillId="0" borderId="0" xfId="22" applyFont="1" applyAlignment="1">
      <alignment horizontal="center" vertical="center"/>
    </xf>
    <xf numFmtId="0" fontId="78" fillId="0" borderId="0" xfId="22" applyFont="1" applyAlignment="1">
      <alignment horizontal="center"/>
    </xf>
    <xf numFmtId="176" fontId="50" fillId="0" borderId="3" xfId="19" applyNumberFormat="1" applyFont="1" applyFill="1" applyBorder="1" applyAlignment="1">
      <alignment horizontal="center" vertical="center"/>
    </xf>
    <xf numFmtId="0" fontId="16" fillId="0" borderId="0" xfId="18" applyFont="1" applyAlignment="1">
      <alignment horizontal="left" vertical="center"/>
    </xf>
    <xf numFmtId="0" fontId="47" fillId="0" borderId="0" xfId="16" applyFont="1" applyAlignment="1">
      <alignment vertical="center"/>
    </xf>
    <xf numFmtId="0" fontId="16" fillId="0" borderId="7" xfId="18" applyFont="1" applyBorder="1" applyAlignment="1">
      <alignment horizontal="center" vertical="center"/>
    </xf>
    <xf numFmtId="0" fontId="16" fillId="0" borderId="7" xfId="18" quotePrefix="1" applyFont="1" applyBorder="1" applyAlignment="1">
      <alignment horizontal="center" vertical="center"/>
    </xf>
    <xf numFmtId="0" fontId="16" fillId="0" borderId="2" xfId="18" applyFont="1" applyBorder="1" applyAlignment="1">
      <alignment horizontal="center" vertical="center"/>
    </xf>
    <xf numFmtId="0" fontId="16" fillId="0" borderId="2" xfId="18" applyFont="1" applyBorder="1" applyAlignment="1">
      <alignment vertical="center"/>
    </xf>
    <xf numFmtId="176" fontId="16" fillId="0" borderId="2" xfId="19" applyNumberFormat="1" applyFont="1" applyFill="1" applyBorder="1" applyAlignment="1">
      <alignment horizontal="center" vertical="center"/>
    </xf>
    <xf numFmtId="0" fontId="16" fillId="0" borderId="3" xfId="18" applyFont="1" applyBorder="1" applyAlignment="1">
      <alignment horizontal="center" vertical="center"/>
    </xf>
    <xf numFmtId="0" fontId="16" fillId="0" borderId="3" xfId="18" applyFont="1" applyBorder="1" applyAlignment="1">
      <alignment vertical="center"/>
    </xf>
    <xf numFmtId="168" fontId="16" fillId="0" borderId="29" xfId="20" applyNumberFormat="1" applyFont="1" applyFill="1" applyBorder="1" applyAlignment="1">
      <alignment horizontal="center" vertical="center"/>
    </xf>
    <xf numFmtId="168" fontId="16" fillId="0" borderId="3" xfId="19" applyNumberFormat="1" applyFont="1" applyFill="1" applyBorder="1" applyAlignment="1">
      <alignment horizontal="center" vertical="center"/>
    </xf>
    <xf numFmtId="0" fontId="16" fillId="0" borderId="3" xfId="18" applyFont="1" applyBorder="1" applyAlignment="1">
      <alignment horizontal="left" vertical="center" wrapText="1"/>
    </xf>
    <xf numFmtId="0" fontId="36" fillId="0" borderId="3" xfId="18" applyFont="1" applyBorder="1" applyAlignment="1">
      <alignment horizontal="left" vertical="center" wrapText="1"/>
    </xf>
    <xf numFmtId="177" fontId="36" fillId="0" borderId="3" xfId="19" applyNumberFormat="1" applyFont="1" applyFill="1" applyBorder="1" applyAlignment="1">
      <alignment horizontal="center" vertical="center"/>
    </xf>
    <xf numFmtId="0" fontId="10" fillId="0" borderId="3" xfId="18" applyFont="1" applyBorder="1" applyAlignment="1">
      <alignment horizontal="center" vertical="center"/>
    </xf>
    <xf numFmtId="0" fontId="10" fillId="0" borderId="3" xfId="18" applyFont="1" applyBorder="1" applyAlignment="1">
      <alignment vertical="center"/>
    </xf>
    <xf numFmtId="41" fontId="10" fillId="0" borderId="3" xfId="19" applyNumberFormat="1" applyFont="1" applyFill="1" applyBorder="1" applyAlignment="1">
      <alignment horizontal="right" vertical="center"/>
    </xf>
    <xf numFmtId="0" fontId="10" fillId="0" borderId="3" xfId="18" applyFont="1" applyBorder="1" applyAlignment="1">
      <alignment horizontal="left" vertical="center" wrapText="1"/>
    </xf>
    <xf numFmtId="41" fontId="10" fillId="0" borderId="3" xfId="19" applyNumberFormat="1" applyFont="1" applyFill="1" applyBorder="1" applyAlignment="1">
      <alignment horizontal="center" vertical="center"/>
    </xf>
    <xf numFmtId="0" fontId="24" fillId="0" borderId="3" xfId="18" quotePrefix="1" applyFont="1" applyBorder="1" applyAlignment="1">
      <alignment horizontal="center" vertical="center"/>
    </xf>
    <xf numFmtId="0" fontId="24" fillId="0" borderId="3" xfId="16" applyFont="1" applyBorder="1" applyAlignment="1">
      <alignment vertical="center" wrapText="1"/>
    </xf>
    <xf numFmtId="41" fontId="24" fillId="0" borderId="3" xfId="19" applyNumberFormat="1" applyFont="1" applyFill="1" applyBorder="1" applyAlignment="1">
      <alignment horizontal="right" vertical="center"/>
    </xf>
    <xf numFmtId="0" fontId="48" fillId="0" borderId="0" xfId="16" applyFont="1" applyAlignment="1">
      <alignment vertical="center"/>
    </xf>
    <xf numFmtId="0" fontId="10" fillId="0" borderId="3" xfId="18" quotePrefix="1" applyFont="1" applyBorder="1" applyAlignment="1">
      <alignment horizontal="center" vertical="center"/>
    </xf>
    <xf numFmtId="0" fontId="10" fillId="0" borderId="3" xfId="16" applyFont="1" applyBorder="1" applyAlignment="1">
      <alignment vertical="center" wrapText="1"/>
    </xf>
    <xf numFmtId="176" fontId="47" fillId="0" borderId="0" xfId="16" applyNumberFormat="1" applyFont="1" applyAlignment="1">
      <alignment vertical="center"/>
    </xf>
    <xf numFmtId="0" fontId="49" fillId="0" borderId="3" xfId="18" quotePrefix="1" applyFont="1" applyBorder="1" applyAlignment="1">
      <alignment horizontal="center" vertical="center"/>
    </xf>
    <xf numFmtId="0" fontId="50" fillId="0" borderId="3" xfId="18" quotePrefix="1" applyFont="1" applyBorder="1" applyAlignment="1">
      <alignment horizontal="center" vertical="center"/>
    </xf>
    <xf numFmtId="0" fontId="50" fillId="0" borderId="3" xfId="16" applyFont="1" applyBorder="1" applyAlignment="1">
      <alignment vertical="center" wrapText="1"/>
    </xf>
    <xf numFmtId="0" fontId="51" fillId="0" borderId="0" xfId="16" applyFont="1" applyAlignment="1">
      <alignment vertical="center"/>
    </xf>
    <xf numFmtId="0" fontId="24" fillId="0" borderId="3" xfId="18" applyFont="1" applyBorder="1" applyAlignment="1">
      <alignment horizontal="left" vertical="center" wrapText="1"/>
    </xf>
    <xf numFmtId="176" fontId="24" fillId="0" borderId="3" xfId="19" applyNumberFormat="1" applyFont="1" applyFill="1" applyBorder="1" applyAlignment="1">
      <alignment horizontal="center" vertical="center" wrapText="1"/>
    </xf>
    <xf numFmtId="176" fontId="10" fillId="0" borderId="3" xfId="19" applyNumberFormat="1" applyFont="1" applyFill="1" applyBorder="1" applyAlignment="1">
      <alignment horizontal="center" vertical="center" wrapText="1"/>
    </xf>
    <xf numFmtId="43" fontId="24" fillId="0" borderId="3" xfId="5" applyFont="1" applyFill="1" applyBorder="1" applyAlignment="1">
      <alignment vertical="center" wrapText="1"/>
    </xf>
    <xf numFmtId="168" fontId="24" fillId="0" borderId="3" xfId="5" applyNumberFormat="1" applyFont="1" applyFill="1" applyBorder="1" applyAlignment="1">
      <alignment vertical="center" wrapText="1"/>
    </xf>
    <xf numFmtId="168" fontId="24" fillId="0" borderId="29" xfId="21" applyNumberFormat="1" applyFont="1" applyFill="1" applyBorder="1" applyAlignment="1">
      <alignment vertical="center" wrapText="1"/>
    </xf>
    <xf numFmtId="0" fontId="36" fillId="0" borderId="3" xfId="18" quotePrefix="1" applyFont="1" applyBorder="1" applyAlignment="1">
      <alignment horizontal="center" vertical="center"/>
    </xf>
    <xf numFmtId="0" fontId="52" fillId="0" borderId="0" xfId="16" applyFont="1" applyAlignment="1">
      <alignment vertical="center"/>
    </xf>
    <xf numFmtId="0" fontId="36" fillId="0" borderId="4" xfId="18" quotePrefix="1" applyFont="1" applyBorder="1" applyAlignment="1">
      <alignment horizontal="center" vertical="center"/>
    </xf>
    <xf numFmtId="0" fontId="36" fillId="0" borderId="4" xfId="18" applyFont="1" applyBorder="1" applyAlignment="1">
      <alignment horizontal="left" vertical="center" wrapText="1"/>
    </xf>
    <xf numFmtId="176" fontId="10" fillId="0" borderId="4" xfId="19" applyNumberFormat="1" applyFont="1" applyFill="1" applyBorder="1" applyAlignment="1">
      <alignment horizontal="center" vertical="center" wrapText="1"/>
    </xf>
    <xf numFmtId="41" fontId="10" fillId="0" borderId="4" xfId="19" applyNumberFormat="1" applyFont="1" applyFill="1" applyBorder="1" applyAlignment="1">
      <alignment horizontal="right" vertical="center" wrapText="1"/>
    </xf>
    <xf numFmtId="0" fontId="8" fillId="0" borderId="0" xfId="11" applyFont="1" applyAlignment="1">
      <alignment horizontal="right" vertical="center"/>
    </xf>
    <xf numFmtId="0" fontId="12" fillId="0" borderId="0" xfId="11" quotePrefix="1" applyFont="1" applyAlignment="1">
      <alignment horizontal="left" vertical="center" wrapText="1"/>
    </xf>
    <xf numFmtId="0" fontId="6" fillId="0" borderId="0" xfId="11" applyFont="1" applyAlignment="1">
      <alignment horizontal="right" vertical="center" wrapText="1"/>
    </xf>
    <xf numFmtId="0" fontId="11" fillId="0" borderId="1" xfId="11" applyFont="1" applyBorder="1" applyAlignment="1">
      <alignment horizontal="center" vertical="center" wrapText="1"/>
    </xf>
    <xf numFmtId="0" fontId="7" fillId="0" borderId="2" xfId="11" applyFont="1" applyBorder="1" applyAlignment="1">
      <alignment vertical="center" wrapText="1"/>
    </xf>
    <xf numFmtId="165" fontId="7" fillId="0" borderId="2" xfId="14" applyNumberFormat="1" applyFont="1" applyFill="1" applyBorder="1" applyAlignment="1">
      <alignment vertical="center"/>
    </xf>
    <xf numFmtId="165" fontId="7" fillId="0" borderId="3" xfId="14" applyNumberFormat="1" applyFont="1" applyFill="1" applyBorder="1" applyAlignment="1">
      <alignment vertical="center"/>
    </xf>
    <xf numFmtId="0" fontId="9" fillId="0" borderId="14" xfId="11" applyFont="1" applyBorder="1" applyAlignment="1">
      <alignment horizontal="center" vertical="center" wrapText="1"/>
    </xf>
    <xf numFmtId="0" fontId="9" fillId="0" borderId="14" xfId="11" applyFont="1" applyBorder="1" applyAlignment="1">
      <alignment vertical="center" wrapText="1"/>
    </xf>
    <xf numFmtId="172" fontId="9" fillId="0" borderId="14" xfId="5" applyNumberFormat="1" applyFont="1" applyFill="1" applyBorder="1" applyAlignment="1">
      <alignment horizontal="right" vertical="center" wrapText="1"/>
    </xf>
    <xf numFmtId="165" fontId="9" fillId="0" borderId="3" xfId="14" applyNumberFormat="1" applyFont="1" applyFill="1" applyBorder="1" applyAlignment="1">
      <alignment vertical="center"/>
    </xf>
    <xf numFmtId="0" fontId="9" fillId="0" borderId="14" xfId="11" quotePrefix="1" applyFont="1" applyBorder="1" applyAlignment="1">
      <alignment horizontal="center" vertical="center" wrapText="1"/>
    </xf>
    <xf numFmtId="165" fontId="8" fillId="0" borderId="3" xfId="14" applyNumberFormat="1" applyFont="1" applyFill="1" applyBorder="1" applyAlignment="1">
      <alignment vertical="center"/>
    </xf>
    <xf numFmtId="173" fontId="7" fillId="0" borderId="0" xfId="5" applyNumberFormat="1" applyFont="1" applyFill="1" applyAlignment="1">
      <alignment vertical="center"/>
    </xf>
    <xf numFmtId="174" fontId="7" fillId="0" borderId="0" xfId="11" applyNumberFormat="1" applyFont="1" applyAlignment="1">
      <alignment vertical="center"/>
    </xf>
    <xf numFmtId="174" fontId="8" fillId="0" borderId="0" xfId="11" applyNumberFormat="1" applyFont="1" applyAlignment="1">
      <alignment vertical="center"/>
    </xf>
    <xf numFmtId="168" fontId="9" fillId="0" borderId="0" xfId="11" applyNumberFormat="1" applyFont="1" applyAlignment="1">
      <alignment vertical="center"/>
    </xf>
    <xf numFmtId="0" fontId="9" fillId="0" borderId="4" xfId="11" applyFont="1" applyBorder="1" applyAlignment="1">
      <alignment vertical="center" wrapText="1"/>
    </xf>
    <xf numFmtId="0" fontId="8" fillId="0" borderId="0" xfId="11" quotePrefix="1" applyFont="1" applyAlignment="1">
      <alignment horizontal="left" vertical="center" wrapText="1"/>
    </xf>
    <xf numFmtId="3" fontId="69" fillId="2" borderId="3" xfId="30" applyNumberFormat="1" applyFont="1" applyFill="1" applyBorder="1" applyAlignment="1">
      <alignment horizontal="right" vertical="center" wrapText="1"/>
    </xf>
    <xf numFmtId="3" fontId="82" fillId="0" borderId="3" xfId="2" applyNumberFormat="1" applyFont="1" applyBorder="1" applyAlignment="1">
      <alignment vertical="center"/>
    </xf>
    <xf numFmtId="3" fontId="83" fillId="0" borderId="3" xfId="11" applyNumberFormat="1" applyFont="1" applyBorder="1" applyAlignment="1">
      <alignment vertical="center"/>
    </xf>
    <xf numFmtId="176" fontId="84" fillId="0" borderId="3" xfId="19" applyNumberFormat="1" applyFont="1" applyFill="1" applyBorder="1" applyAlignment="1">
      <alignment horizontal="center" vertical="center"/>
    </xf>
    <xf numFmtId="168" fontId="85" fillId="2" borderId="3" xfId="5" applyNumberFormat="1" applyFont="1" applyFill="1" applyBorder="1" applyAlignment="1">
      <alignment horizontal="center" vertical="center" wrapText="1"/>
    </xf>
    <xf numFmtId="0" fontId="38" fillId="2" borderId="0" xfId="22" applyFont="1" applyFill="1"/>
    <xf numFmtId="0" fontId="86" fillId="2" borderId="3" xfId="22" applyFont="1" applyFill="1" applyBorder="1" applyAlignment="1">
      <alignment horizontal="center" vertical="center"/>
    </xf>
    <xf numFmtId="0" fontId="86" fillId="2" borderId="3" xfId="8" applyFont="1" applyFill="1" applyBorder="1" applyAlignment="1">
      <alignment horizontal="left" vertical="center" wrapText="1"/>
    </xf>
    <xf numFmtId="0" fontId="86" fillId="2" borderId="3" xfId="8" applyFont="1" applyFill="1" applyBorder="1" applyAlignment="1">
      <alignment horizontal="center" vertical="center" wrapText="1"/>
    </xf>
    <xf numFmtId="178" fontId="86" fillId="2" borderId="3" xfId="26" applyNumberFormat="1" applyFont="1" applyFill="1" applyBorder="1" applyAlignment="1">
      <alignment horizontal="center" vertical="center" wrapText="1"/>
    </xf>
    <xf numFmtId="0" fontId="86" fillId="2" borderId="3" xfId="22" applyFont="1" applyFill="1" applyBorder="1" applyAlignment="1">
      <alignment horizontal="center"/>
    </xf>
    <xf numFmtId="168" fontId="86" fillId="2" borderId="3" xfId="5" applyNumberFormat="1" applyFont="1" applyFill="1" applyBorder="1" applyAlignment="1">
      <alignment horizontal="center" vertical="center"/>
    </xf>
    <xf numFmtId="168" fontId="86" fillId="2" borderId="3" xfId="5" applyNumberFormat="1" applyFont="1" applyFill="1" applyBorder="1" applyAlignment="1">
      <alignment horizontal="center" vertical="center" wrapText="1"/>
    </xf>
    <xf numFmtId="168" fontId="38" fillId="0" borderId="0" xfId="22" applyNumberFormat="1" applyFont="1"/>
    <xf numFmtId="164" fontId="9" fillId="0" borderId="3" xfId="30" applyFont="1" applyBorder="1" applyAlignment="1">
      <alignment horizontal="right" vertical="center"/>
    </xf>
    <xf numFmtId="176" fontId="48" fillId="0" borderId="0" xfId="16" applyNumberFormat="1" applyFont="1" applyAlignment="1">
      <alignment vertical="center"/>
    </xf>
    <xf numFmtId="3" fontId="35" fillId="0" borderId="3" xfId="11" applyNumberFormat="1" applyFont="1" applyBorder="1" applyAlignment="1">
      <alignment vertical="center"/>
    </xf>
    <xf numFmtId="3" fontId="87" fillId="0" borderId="3" xfId="2" applyNumberFormat="1" applyFont="1" applyBorder="1" applyAlignment="1">
      <alignment vertical="center"/>
    </xf>
    <xf numFmtId="3" fontId="88" fillId="0" borderId="3" xfId="2" applyNumberFormat="1" applyFont="1" applyBorder="1" applyAlignment="1">
      <alignment vertical="center"/>
    </xf>
    <xf numFmtId="0" fontId="19" fillId="0" borderId="7" xfId="15" applyFont="1" applyBorder="1" applyAlignment="1">
      <alignment horizontal="center" vertical="center" wrapText="1"/>
    </xf>
    <xf numFmtId="0" fontId="19" fillId="0" borderId="8" xfId="15" applyFont="1" applyBorder="1" applyAlignment="1">
      <alignment horizontal="center" vertical="center" wrapText="1"/>
    </xf>
    <xf numFmtId="0" fontId="36" fillId="0" borderId="0" xfId="15" applyFont="1" applyAlignment="1">
      <alignment horizontal="left" vertical="center" wrapText="1"/>
    </xf>
    <xf numFmtId="0" fontId="36" fillId="0" borderId="0" xfId="11" applyFont="1" applyAlignment="1">
      <alignment horizontal="left" vertical="center" wrapText="1"/>
    </xf>
    <xf numFmtId="0" fontId="7" fillId="0" borderId="0" xfId="0" applyFont="1" applyAlignment="1">
      <alignment horizontal="center" vertical="center"/>
    </xf>
    <xf numFmtId="0" fontId="7" fillId="0" borderId="0" xfId="11" applyFont="1" applyAlignment="1">
      <alignment horizontal="center" vertical="center"/>
    </xf>
    <xf numFmtId="0" fontId="8" fillId="0" borderId="0" xfId="11" applyFont="1" applyAlignment="1">
      <alignment horizontal="center" vertical="center"/>
    </xf>
    <xf numFmtId="0" fontId="23" fillId="0" borderId="0" xfId="15" applyFont="1" applyAlignment="1">
      <alignment horizontal="right" vertical="center"/>
    </xf>
    <xf numFmtId="0" fontId="19" fillId="0" borderId="7" xfId="15" applyFont="1" applyBorder="1" applyAlignment="1">
      <alignment horizontal="center" vertical="center"/>
    </xf>
    <xf numFmtId="0" fontId="19" fillId="0" borderId="11" xfId="15" applyFont="1" applyBorder="1" applyAlignment="1">
      <alignment horizontal="center" vertical="center"/>
    </xf>
    <xf numFmtId="0" fontId="19" fillId="0" borderId="8" xfId="15" applyFont="1" applyBorder="1" applyAlignment="1">
      <alignment horizontal="center" vertical="center"/>
    </xf>
    <xf numFmtId="0" fontId="7" fillId="0" borderId="7" xfId="15" applyFont="1" applyBorder="1" applyAlignment="1">
      <alignment horizontal="center" vertical="center" wrapText="1"/>
    </xf>
    <xf numFmtId="0" fontId="7" fillId="0" borderId="11" xfId="15" applyFont="1" applyBorder="1" applyAlignment="1">
      <alignment horizontal="center" vertical="center" wrapText="1"/>
    </xf>
    <xf numFmtId="0" fontId="7" fillId="0" borderId="8" xfId="15" applyFont="1" applyBorder="1" applyAlignment="1">
      <alignment horizontal="center" vertical="center" wrapText="1"/>
    </xf>
    <xf numFmtId="0" fontId="19" fillId="0" borderId="1" xfId="15" applyFont="1" applyBorder="1" applyAlignment="1">
      <alignment horizontal="center" vertical="center"/>
    </xf>
    <xf numFmtId="0" fontId="7" fillId="0" borderId="0" xfId="12" applyFont="1" applyAlignment="1">
      <alignment horizontal="center" vertical="center"/>
    </xf>
    <xf numFmtId="0" fontId="8" fillId="0" borderId="0" xfId="12" applyFont="1" applyAlignment="1">
      <alignment horizontal="center" vertical="center"/>
    </xf>
    <xf numFmtId="0" fontId="7" fillId="0" borderId="1" xfId="12" applyFont="1" applyBorder="1" applyAlignment="1">
      <alignment horizontal="center" vertical="center"/>
    </xf>
    <xf numFmtId="0" fontId="7" fillId="0" borderId="1" xfId="12" applyFont="1" applyBorder="1" applyAlignment="1">
      <alignment horizontal="center" vertical="center" wrapText="1"/>
    </xf>
    <xf numFmtId="0" fontId="7" fillId="0" borderId="5" xfId="12" applyFont="1" applyBorder="1" applyAlignment="1">
      <alignment horizontal="center" vertical="center"/>
    </xf>
    <xf numFmtId="0" fontId="7" fillId="0" borderId="10" xfId="12" applyFont="1" applyBorder="1" applyAlignment="1">
      <alignment horizontal="center" vertical="center"/>
    </xf>
    <xf numFmtId="0" fontId="12" fillId="0" borderId="0" xfId="12" quotePrefix="1" applyFont="1" applyAlignment="1">
      <alignment horizontal="left" vertical="center"/>
    </xf>
    <xf numFmtId="0" fontId="12" fillId="0" borderId="0" xfId="12" quotePrefix="1" applyFont="1" applyAlignment="1">
      <alignment horizontal="left" vertical="center" wrapText="1"/>
    </xf>
    <xf numFmtId="0" fontId="12" fillId="0" borderId="0" xfId="12" applyFont="1" applyAlignment="1">
      <alignment horizontal="left" vertical="center"/>
    </xf>
    <xf numFmtId="0" fontId="7" fillId="0" borderId="1" xfId="11" applyFont="1" applyBorder="1" applyAlignment="1">
      <alignment horizontal="center" vertical="center" wrapText="1"/>
    </xf>
    <xf numFmtId="0" fontId="8" fillId="0" borderId="0" xfId="11" applyFont="1" applyAlignment="1">
      <alignment horizontal="right" vertical="center"/>
    </xf>
    <xf numFmtId="0" fontId="7" fillId="0" borderId="1" xfId="11" applyFont="1" applyBorder="1" applyAlignment="1">
      <alignment horizontal="center" vertical="center"/>
    </xf>
    <xf numFmtId="0" fontId="12" fillId="0" borderId="0" xfId="11" quotePrefix="1" applyFont="1" applyAlignment="1">
      <alignment horizontal="left" vertical="center" wrapText="1"/>
    </xf>
    <xf numFmtId="0" fontId="12" fillId="0" borderId="0" xfId="11" applyFont="1" applyAlignment="1">
      <alignment horizontal="left" vertical="center" wrapText="1"/>
    </xf>
    <xf numFmtId="0" fontId="6" fillId="0" borderId="1" xfId="11" applyFont="1" applyBorder="1" applyAlignment="1">
      <alignment vertical="center"/>
    </xf>
    <xf numFmtId="0" fontId="12" fillId="0" borderId="18" xfId="11" quotePrefix="1" applyFont="1" applyBorder="1" applyAlignment="1">
      <alignment horizontal="left" vertical="center" wrapText="1"/>
    </xf>
    <xf numFmtId="0" fontId="8" fillId="0" borderId="0" xfId="11" applyFont="1" applyAlignment="1">
      <alignment horizontal="left" vertical="center"/>
    </xf>
    <xf numFmtId="0" fontId="12" fillId="0" borderId="0" xfId="11" applyFont="1" applyAlignment="1">
      <alignment horizontal="left" vertical="center"/>
    </xf>
    <xf numFmtId="0" fontId="36" fillId="0" borderId="0" xfId="18" applyFont="1" applyAlignment="1">
      <alignment horizontal="center" vertical="center"/>
    </xf>
    <xf numFmtId="0" fontId="16" fillId="0" borderId="0" xfId="18" applyFont="1" applyAlignment="1">
      <alignment horizontal="center" vertical="center"/>
    </xf>
    <xf numFmtId="0" fontId="16" fillId="0" borderId="0" xfId="18" applyFont="1" applyAlignment="1">
      <alignment horizontal="right" vertical="center"/>
    </xf>
    <xf numFmtId="0" fontId="36" fillId="0" borderId="0" xfId="16" applyFont="1" applyAlignment="1">
      <alignment horizontal="center" vertical="center"/>
    </xf>
    <xf numFmtId="0" fontId="36" fillId="0" borderId="0" xfId="18" applyFont="1" applyAlignment="1">
      <alignment horizontal="right" vertical="center"/>
    </xf>
    <xf numFmtId="0" fontId="16" fillId="0" borderId="1" xfId="18" applyFont="1" applyBorder="1" applyAlignment="1">
      <alignment horizontal="center" vertical="center"/>
    </xf>
    <xf numFmtId="0" fontId="16" fillId="0" borderId="1" xfId="18"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right" vertical="center"/>
    </xf>
    <xf numFmtId="0" fontId="19" fillId="0" borderId="1" xfId="0" applyFont="1" applyBorder="1" applyAlignment="1">
      <alignment horizontal="center" vertical="center"/>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right"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9" fillId="0" borderId="0" xfId="11" applyFont="1" applyAlignment="1">
      <alignment horizontal="center" vertical="center"/>
    </xf>
    <xf numFmtId="0" fontId="19" fillId="0" borderId="0" xfId="11" applyFont="1" applyAlignment="1">
      <alignment horizontal="center" vertical="center"/>
    </xf>
    <xf numFmtId="0" fontId="23" fillId="0" borderId="0" xfId="11" applyFont="1" applyAlignment="1">
      <alignment horizontal="center" vertical="center"/>
    </xf>
    <xf numFmtId="0" fontId="23" fillId="0" borderId="0" xfId="11" applyFont="1" applyAlignment="1">
      <alignment horizontal="right" vertical="center"/>
    </xf>
    <xf numFmtId="0" fontId="19" fillId="0" borderId="7" xfId="11" applyFont="1" applyBorder="1" applyAlignment="1">
      <alignment horizontal="center" vertical="center"/>
    </xf>
    <xf numFmtId="0" fontId="19" fillId="0" borderId="11" xfId="11" applyFont="1" applyBorder="1" applyAlignment="1">
      <alignment horizontal="center" vertical="center"/>
    </xf>
    <xf numFmtId="0" fontId="19" fillId="0" borderId="8" xfId="11" applyFont="1" applyBorder="1" applyAlignment="1">
      <alignment horizontal="center" vertical="center"/>
    </xf>
    <xf numFmtId="0" fontId="12" fillId="2" borderId="0" xfId="1" applyFont="1" applyFill="1" applyAlignment="1">
      <alignment horizontal="left" vertical="center" wrapText="1"/>
    </xf>
    <xf numFmtId="0" fontId="7" fillId="2" borderId="0" xfId="2" applyFont="1" applyFill="1" applyAlignment="1">
      <alignment horizontal="center" vertical="center"/>
    </xf>
    <xf numFmtId="0" fontId="9" fillId="2" borderId="0" xfId="2" applyFont="1" applyFill="1" applyAlignment="1">
      <alignment horizontal="center" vertical="center"/>
    </xf>
    <xf numFmtId="0" fontId="7" fillId="2" borderId="1" xfId="2" applyFont="1" applyFill="1" applyBorder="1" applyAlignment="1">
      <alignment horizontal="center" vertical="center"/>
    </xf>
    <xf numFmtId="0" fontId="7" fillId="2" borderId="1" xfId="2"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0" borderId="7"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8" xfId="2" applyFont="1" applyBorder="1" applyAlignment="1">
      <alignment horizontal="center" vertical="center" wrapText="1"/>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10" xfId="2" applyFont="1" applyBorder="1" applyAlignment="1">
      <alignment horizontal="center" vertical="center"/>
    </xf>
    <xf numFmtId="0" fontId="7" fillId="0" borderId="5"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0" xfId="2" applyFont="1" applyAlignment="1">
      <alignment horizontal="center" vertical="center"/>
    </xf>
    <xf numFmtId="0" fontId="9" fillId="0" borderId="0" xfId="2" applyFont="1" applyAlignment="1">
      <alignment horizontal="center" vertical="center"/>
    </xf>
    <xf numFmtId="0" fontId="7" fillId="0" borderId="7" xfId="2" applyFont="1" applyBorder="1" applyAlignment="1">
      <alignment horizontal="center" vertical="center"/>
    </xf>
    <xf numFmtId="0" fontId="7" fillId="0" borderId="11" xfId="2" applyFont="1" applyBorder="1" applyAlignment="1">
      <alignment horizontal="center" vertical="center"/>
    </xf>
    <xf numFmtId="0" fontId="7" fillId="0" borderId="8" xfId="2" applyFont="1" applyBorder="1" applyAlignment="1">
      <alignment horizontal="center" vertical="center"/>
    </xf>
    <xf numFmtId="0" fontId="6" fillId="0" borderId="1" xfId="16" applyFont="1" applyBorder="1" applyAlignment="1">
      <alignment horizontal="center" vertical="center" wrapText="1"/>
    </xf>
    <xf numFmtId="0" fontId="6" fillId="0" borderId="5" xfId="16" applyFont="1" applyBorder="1" applyAlignment="1">
      <alignment horizontal="center" vertical="center" wrapText="1"/>
    </xf>
    <xf numFmtId="0" fontId="7" fillId="0" borderId="0" xfId="16" applyFont="1" applyAlignment="1">
      <alignment horizontal="center" vertical="center"/>
    </xf>
    <xf numFmtId="0" fontId="8" fillId="0" borderId="0" xfId="16" applyFont="1" applyAlignment="1">
      <alignment horizontal="center" vertical="center"/>
    </xf>
    <xf numFmtId="0" fontId="6" fillId="0" borderId="1" xfId="16" applyFont="1" applyBorder="1" applyAlignment="1">
      <alignment horizontal="center" vertical="center"/>
    </xf>
    <xf numFmtId="0" fontId="6" fillId="0" borderId="7" xfId="16" applyFont="1" applyBorder="1" applyAlignment="1">
      <alignment horizontal="center" vertical="center"/>
    </xf>
    <xf numFmtId="0" fontId="6" fillId="0" borderId="11" xfId="16" applyFont="1" applyBorder="1" applyAlignment="1">
      <alignment horizontal="center" vertical="center"/>
    </xf>
    <xf numFmtId="0" fontId="6" fillId="0" borderId="8" xfId="16" applyFont="1" applyBorder="1" applyAlignment="1">
      <alignment horizontal="center" vertical="center"/>
    </xf>
    <xf numFmtId="0" fontId="7" fillId="0" borderId="7" xfId="4" applyFont="1" applyBorder="1" applyAlignment="1">
      <alignment horizontal="center" vertical="center" wrapText="1"/>
    </xf>
    <xf numFmtId="0" fontId="7" fillId="0" borderId="11" xfId="4" applyFont="1" applyBorder="1" applyAlignment="1">
      <alignment horizontal="center" vertical="center" wrapText="1"/>
    </xf>
    <xf numFmtId="0" fontId="7" fillId="0" borderId="8" xfId="4" applyFont="1" applyBorder="1" applyAlignment="1">
      <alignment horizontal="center" vertical="center" wrapText="1"/>
    </xf>
    <xf numFmtId="0" fontId="7" fillId="0" borderId="1" xfId="4" applyFont="1" applyBorder="1" applyAlignment="1">
      <alignment horizontal="center" vertical="center" wrapText="1"/>
    </xf>
    <xf numFmtId="0" fontId="7" fillId="0" borderId="0" xfId="4" applyFont="1" applyAlignment="1">
      <alignment horizontal="center" vertical="center" wrapText="1"/>
    </xf>
    <xf numFmtId="0" fontId="7" fillId="0" borderId="0" xfId="4" applyFont="1" applyAlignment="1">
      <alignment horizontal="center" vertical="center"/>
    </xf>
    <xf numFmtId="0" fontId="9" fillId="0" borderId="0" xfId="4" applyFont="1" applyAlignment="1">
      <alignment horizontal="center" vertical="center"/>
    </xf>
    <xf numFmtId="0" fontId="7" fillId="0" borderId="1" xfId="4" applyFont="1" applyBorder="1" applyAlignment="1">
      <alignment horizontal="center" vertical="center"/>
    </xf>
    <xf numFmtId="175" fontId="7" fillId="0" borderId="1" xfId="17" applyNumberFormat="1" applyFont="1" applyBorder="1" applyAlignment="1">
      <alignment horizontal="center" vertical="center" wrapText="1"/>
    </xf>
    <xf numFmtId="0" fontId="7" fillId="0" borderId="7" xfId="16" applyFont="1" applyBorder="1" applyAlignment="1">
      <alignment horizontal="center" vertical="center" wrapText="1"/>
    </xf>
    <xf numFmtId="0" fontId="7" fillId="0" borderId="11" xfId="16" applyFont="1" applyBorder="1" applyAlignment="1">
      <alignment horizontal="center" vertical="center" wrapText="1"/>
    </xf>
    <xf numFmtId="0" fontId="7" fillId="0" borderId="8" xfId="16" applyFont="1" applyBorder="1" applyAlignment="1">
      <alignment horizontal="center" vertical="center" wrapText="1"/>
    </xf>
    <xf numFmtId="175" fontId="7" fillId="0" borderId="7" xfId="17" applyNumberFormat="1" applyFont="1" applyBorder="1" applyAlignment="1">
      <alignment horizontal="center" vertical="center" wrapText="1"/>
    </xf>
    <xf numFmtId="175" fontId="7" fillId="0" borderId="11" xfId="17" applyNumberFormat="1" applyFont="1" applyBorder="1" applyAlignment="1">
      <alignment horizontal="center" vertical="center" wrapText="1"/>
    </xf>
    <xf numFmtId="175" fontId="7" fillId="0" borderId="8" xfId="17" applyNumberFormat="1" applyFont="1" applyBorder="1" applyAlignment="1">
      <alignment horizontal="center" vertical="center" wrapText="1"/>
    </xf>
    <xf numFmtId="0" fontId="7" fillId="0" borderId="1" xfId="16" applyFont="1" applyBorder="1" applyAlignment="1">
      <alignment horizontal="center" vertical="center" wrapText="1"/>
    </xf>
    <xf numFmtId="0" fontId="7" fillId="0" borderId="1" xfId="16" applyFont="1" applyBorder="1" applyAlignment="1">
      <alignment horizontal="center" vertical="center"/>
    </xf>
    <xf numFmtId="0" fontId="7" fillId="0" borderId="7" xfId="16" applyFont="1" applyBorder="1" applyAlignment="1">
      <alignment horizontal="center" vertical="center"/>
    </xf>
    <xf numFmtId="0" fontId="7" fillId="0" borderId="11" xfId="16" applyFont="1" applyBorder="1" applyAlignment="1">
      <alignment horizontal="center" vertical="center"/>
    </xf>
    <xf numFmtId="0" fontId="7" fillId="0" borderId="8" xfId="16" applyFont="1" applyBorder="1" applyAlignment="1">
      <alignment horizontal="center" vertical="center"/>
    </xf>
    <xf numFmtId="0" fontId="7" fillId="0" borderId="25" xfId="16" applyFont="1" applyBorder="1" applyAlignment="1">
      <alignment horizontal="center" vertical="center"/>
    </xf>
    <xf numFmtId="0" fontId="7" fillId="0" borderId="26" xfId="16" applyFont="1" applyBorder="1" applyAlignment="1">
      <alignment horizontal="center" vertical="center"/>
    </xf>
    <xf numFmtId="0" fontId="7" fillId="0" borderId="27" xfId="16" applyFont="1" applyBorder="1" applyAlignment="1">
      <alignment horizontal="center" vertical="center"/>
    </xf>
    <xf numFmtId="0" fontId="7" fillId="0" borderId="5" xfId="16" applyFont="1" applyBorder="1" applyAlignment="1">
      <alignment horizontal="center" vertical="center"/>
    </xf>
    <xf numFmtId="0" fontId="7" fillId="0" borderId="6" xfId="16" applyFont="1" applyBorder="1" applyAlignment="1">
      <alignment horizontal="center" vertical="center"/>
    </xf>
    <xf numFmtId="0" fontId="7" fillId="0" borderId="10" xfId="16" applyFont="1" applyBorder="1" applyAlignment="1">
      <alignment horizontal="center" vertical="center"/>
    </xf>
    <xf numFmtId="0" fontId="71" fillId="0" borderId="0" xfId="35" applyFont="1" applyAlignment="1">
      <alignment horizontal="center" vertical="center" wrapText="1"/>
    </xf>
    <xf numFmtId="0" fontId="8" fillId="0" borderId="0" xfId="33" applyFont="1" applyAlignment="1">
      <alignment horizontal="center" vertical="center"/>
    </xf>
    <xf numFmtId="0" fontId="72" fillId="0" borderId="1" xfId="35" applyFont="1" applyBorder="1" applyAlignment="1">
      <alignment horizontal="center" vertical="center" wrapText="1"/>
    </xf>
    <xf numFmtId="0" fontId="72" fillId="0" borderId="1" xfId="35" applyFont="1" applyBorder="1" applyAlignment="1">
      <alignment horizontal="center" vertical="center"/>
    </xf>
    <xf numFmtId="0" fontId="19" fillId="0" borderId="1" xfId="35" applyFont="1" applyBorder="1" applyAlignment="1">
      <alignment horizontal="center" vertical="center" wrapText="1"/>
    </xf>
    <xf numFmtId="0" fontId="7" fillId="0" borderId="0" xfId="17" applyFont="1" applyAlignment="1">
      <alignment horizontal="center" vertical="center" wrapText="1"/>
    </xf>
    <xf numFmtId="0" fontId="8" fillId="0" borderId="0" xfId="18" applyFont="1" applyAlignment="1">
      <alignment horizontal="center" vertical="center"/>
    </xf>
    <xf numFmtId="0" fontId="28" fillId="0" borderId="0" xfId="18" applyFont="1" applyAlignment="1">
      <alignment horizontal="left" vertical="center" wrapText="1"/>
    </xf>
    <xf numFmtId="0" fontId="19" fillId="0" borderId="0" xfId="18" applyFont="1" applyAlignment="1">
      <alignment horizontal="right" vertical="center"/>
    </xf>
    <xf numFmtId="0" fontId="19" fillId="0" borderId="0" xfId="18" applyFont="1" applyAlignment="1">
      <alignment horizontal="center" vertical="center"/>
    </xf>
    <xf numFmtId="0" fontId="23" fillId="0" borderId="0" xfId="18" applyFont="1" applyAlignment="1">
      <alignment horizontal="center" vertical="center"/>
    </xf>
    <xf numFmtId="0" fontId="23" fillId="0" borderId="0" xfId="18" applyFont="1" applyAlignment="1">
      <alignment horizontal="right" vertical="center"/>
    </xf>
    <xf numFmtId="0" fontId="19" fillId="0" borderId="1" xfId="18" applyFont="1" applyBorder="1" applyAlignment="1">
      <alignment horizontal="center" vertical="center" wrapText="1"/>
    </xf>
    <xf numFmtId="0" fontId="19" fillId="0" borderId="1" xfId="18" applyFont="1" applyBorder="1" applyAlignment="1">
      <alignment horizontal="center" vertical="center"/>
    </xf>
    <xf numFmtId="0" fontId="7" fillId="0" borderId="7" xfId="11" applyFont="1" applyBorder="1" applyAlignment="1">
      <alignment horizontal="center" vertical="center" wrapText="1"/>
    </xf>
    <xf numFmtId="0" fontId="7" fillId="0" borderId="11" xfId="11" applyFont="1" applyBorder="1" applyAlignment="1">
      <alignment horizontal="center" vertical="center" wrapText="1"/>
    </xf>
    <xf numFmtId="0" fontId="7" fillId="0" borderId="8" xfId="11" applyFont="1" applyBorder="1" applyAlignment="1">
      <alignment horizontal="center" vertical="center" wrapText="1"/>
    </xf>
    <xf numFmtId="0" fontId="7" fillId="0" borderId="0" xfId="11" applyFont="1" applyAlignment="1">
      <alignment horizontal="right" vertical="center"/>
    </xf>
    <xf numFmtId="0" fontId="8" fillId="0" borderId="19" xfId="11" applyFont="1" applyBorder="1" applyAlignment="1">
      <alignment horizontal="center" vertical="center"/>
    </xf>
    <xf numFmtId="0" fontId="7" fillId="0" borderId="7" xfId="11" applyFont="1" applyBorder="1" applyAlignment="1">
      <alignment horizontal="center" vertical="center"/>
    </xf>
    <xf numFmtId="0" fontId="7" fillId="0" borderId="11" xfId="11" applyFont="1" applyBorder="1" applyAlignment="1">
      <alignment horizontal="center" vertical="center"/>
    </xf>
    <xf numFmtId="0" fontId="7" fillId="0" borderId="8" xfId="11" applyFont="1" applyBorder="1" applyAlignment="1">
      <alignment horizontal="center" vertical="center"/>
    </xf>
    <xf numFmtId="0" fontId="28" fillId="0" borderId="0" xfId="2" applyFont="1" applyAlignment="1">
      <alignment horizontal="left" vertical="center"/>
    </xf>
    <xf numFmtId="0" fontId="28" fillId="0" borderId="0" xfId="2" applyFont="1" applyAlignment="1">
      <alignment horizontal="left" vertical="center" wrapText="1"/>
    </xf>
    <xf numFmtId="0" fontId="19" fillId="0" borderId="1"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8" xfId="2" applyFont="1" applyBorder="1" applyAlignment="1">
      <alignment horizontal="center" vertical="center" wrapText="1"/>
    </xf>
    <xf numFmtId="0" fontId="12" fillId="0" borderId="0" xfId="2" applyFont="1" applyAlignment="1">
      <alignment horizontal="left" vertical="center" wrapText="1"/>
    </xf>
    <xf numFmtId="0" fontId="19" fillId="0" borderId="7" xfId="2" applyFont="1" applyBorder="1" applyAlignment="1">
      <alignment horizontal="center" vertical="center"/>
    </xf>
    <xf numFmtId="0" fontId="19" fillId="0" borderId="11" xfId="2" applyFont="1" applyBorder="1" applyAlignment="1">
      <alignment horizontal="center" vertical="center"/>
    </xf>
    <xf numFmtId="0" fontId="19" fillId="0" borderId="8" xfId="2" applyFont="1" applyBorder="1" applyAlignment="1">
      <alignment horizontal="center" vertical="center"/>
    </xf>
    <xf numFmtId="0" fontId="19" fillId="0" borderId="1" xfId="2" applyFont="1" applyBorder="1" applyAlignment="1">
      <alignment horizontal="center" vertical="center"/>
    </xf>
    <xf numFmtId="0" fontId="19" fillId="0" borderId="0" xfId="2" applyFont="1" applyAlignment="1">
      <alignment horizontal="right" vertical="center"/>
    </xf>
    <xf numFmtId="0" fontId="19" fillId="0" borderId="0" xfId="2" applyFont="1" applyAlignment="1">
      <alignment horizontal="center" vertical="center" wrapText="1"/>
    </xf>
    <xf numFmtId="0" fontId="9" fillId="0" borderId="0" xfId="2" applyFont="1" applyAlignment="1">
      <alignment horizontal="center" vertical="center" wrapText="1"/>
    </xf>
    <xf numFmtId="0" fontId="23" fillId="0" borderId="0" xfId="2" applyFont="1" applyAlignment="1">
      <alignment horizontal="center" vertical="center"/>
    </xf>
    <xf numFmtId="0" fontId="23" fillId="0" borderId="0" xfId="2" applyFont="1" applyAlignment="1">
      <alignment horizontal="right" vertical="center"/>
    </xf>
    <xf numFmtId="0" fontId="12" fillId="0" borderId="0" xfId="0" applyFont="1" applyAlignment="1">
      <alignment horizontal="left" vertical="center" wrapText="1"/>
    </xf>
    <xf numFmtId="0" fontId="9" fillId="0" borderId="0" xfId="0" applyFont="1" applyAlignment="1">
      <alignment horizontal="center" vertical="center"/>
    </xf>
    <xf numFmtId="0" fontId="9" fillId="0" borderId="0" xfId="2" applyFont="1" applyAlignment="1">
      <alignment horizontal="left" vertical="center" wrapText="1"/>
    </xf>
    <xf numFmtId="0" fontId="9" fillId="0" borderId="0" xfId="4" applyFont="1" applyAlignment="1">
      <alignment horizontal="left" vertical="center" wrapText="1"/>
    </xf>
    <xf numFmtId="0" fontId="20" fillId="0" borderId="0" xfId="1" applyFont="1" applyAlignment="1">
      <alignment horizontal="center" vertical="center"/>
    </xf>
    <xf numFmtId="0" fontId="7" fillId="0" borderId="1" xfId="36" applyFont="1" applyBorder="1" applyAlignment="1">
      <alignment horizontal="center" vertical="center" wrapText="1"/>
    </xf>
    <xf numFmtId="0" fontId="7" fillId="0" borderId="0" xfId="36" applyFont="1" applyAlignment="1">
      <alignment horizontal="center" vertical="center" wrapText="1"/>
    </xf>
    <xf numFmtId="0" fontId="7" fillId="0" borderId="0" xfId="36" applyFont="1" applyAlignment="1">
      <alignment horizontal="center" vertical="center"/>
    </xf>
    <xf numFmtId="0" fontId="8" fillId="0" borderId="0" xfId="36" applyFont="1" applyAlignment="1">
      <alignment horizontal="center" vertical="center"/>
    </xf>
    <xf numFmtId="0" fontId="7" fillId="0" borderId="1" xfId="36" applyFont="1" applyBorder="1" applyAlignment="1">
      <alignment horizontal="center" vertical="center"/>
    </xf>
    <xf numFmtId="0" fontId="7" fillId="0" borderId="1" xfId="1" applyFont="1" applyBorder="1" applyAlignment="1">
      <alignment horizontal="center"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7" fillId="0" borderId="1" xfId="1" applyFont="1" applyBorder="1" applyAlignment="1">
      <alignment horizontal="center" vertical="center"/>
    </xf>
    <xf numFmtId="0" fontId="7" fillId="0" borderId="7"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8" xfId="1" applyFont="1" applyBorder="1" applyAlignment="1">
      <alignment horizontal="center" vertical="center" wrapText="1"/>
    </xf>
    <xf numFmtId="0" fontId="7" fillId="0" borderId="0" xfId="18" applyFont="1" applyAlignment="1">
      <alignment horizontal="right" vertical="center"/>
    </xf>
    <xf numFmtId="0" fontId="7" fillId="0" borderId="0" xfId="18" applyFont="1" applyAlignment="1">
      <alignment horizontal="center" vertical="center"/>
    </xf>
    <xf numFmtId="0" fontId="8" fillId="0" borderId="0" xfId="31" applyFont="1" applyAlignment="1">
      <alignment horizontal="center" vertical="center" wrapText="1"/>
    </xf>
    <xf numFmtId="0" fontId="8" fillId="0" borderId="0" xfId="18" applyFont="1" applyAlignment="1">
      <alignment horizontal="right" vertical="center"/>
    </xf>
    <xf numFmtId="0" fontId="7" fillId="0" borderId="1" xfId="18" applyFont="1" applyBorder="1" applyAlignment="1">
      <alignment horizontal="center" vertical="center"/>
    </xf>
    <xf numFmtId="0" fontId="7" fillId="0" borderId="1" xfId="18" applyFont="1" applyBorder="1" applyAlignment="1">
      <alignment horizontal="center" vertical="center" wrapText="1"/>
    </xf>
    <xf numFmtId="0" fontId="12" fillId="0" borderId="0" xfId="18" applyFont="1" applyAlignment="1">
      <alignment horizontal="left" vertical="center" wrapText="1"/>
    </xf>
    <xf numFmtId="0" fontId="12" fillId="0" borderId="39" xfId="18" applyFont="1" applyBorder="1" applyAlignment="1">
      <alignment horizontal="left" vertical="center" wrapText="1"/>
    </xf>
    <xf numFmtId="0" fontId="16" fillId="0" borderId="21" xfId="0" applyFont="1" applyBorder="1" applyAlignment="1">
      <alignment horizontal="center" vertical="center" wrapText="1"/>
    </xf>
    <xf numFmtId="0" fontId="16" fillId="0" borderId="0" xfId="18" applyFont="1" applyAlignment="1">
      <alignment horizontal="center" vertical="center" wrapText="1"/>
    </xf>
    <xf numFmtId="0" fontId="10" fillId="0" borderId="20" xfId="18" applyFont="1" applyBorder="1" applyAlignment="1">
      <alignment horizontal="center" vertical="center"/>
    </xf>
    <xf numFmtId="0" fontId="8" fillId="0" borderId="0" xfId="16" applyFont="1" applyAlignment="1">
      <alignment horizontal="right" vertical="center"/>
    </xf>
    <xf numFmtId="0" fontId="7" fillId="0" borderId="7" xfId="18" applyFont="1" applyBorder="1" applyAlignment="1">
      <alignment horizontal="center" vertical="center" wrapText="1"/>
    </xf>
    <xf numFmtId="0" fontId="7" fillId="0" borderId="8" xfId="18" applyFont="1" applyBorder="1" applyAlignment="1">
      <alignment horizontal="center" vertical="center" wrapText="1"/>
    </xf>
    <xf numFmtId="0" fontId="7" fillId="0" borderId="0" xfId="18" applyFont="1" applyAlignment="1">
      <alignment horizontal="center" vertical="center" wrapText="1"/>
    </xf>
    <xf numFmtId="0" fontId="7" fillId="0" borderId="5" xfId="18" applyFont="1" applyBorder="1" applyAlignment="1">
      <alignment horizontal="center" vertical="center" wrapText="1"/>
    </xf>
    <xf numFmtId="0" fontId="7" fillId="0" borderId="10" xfId="18" applyFont="1" applyBorder="1" applyAlignment="1">
      <alignment horizontal="center" vertical="center" wrapText="1"/>
    </xf>
    <xf numFmtId="0" fontId="7" fillId="0" borderId="7" xfId="18" applyFont="1" applyBorder="1" applyAlignment="1">
      <alignment horizontal="center" vertical="center"/>
    </xf>
    <xf numFmtId="0" fontId="7" fillId="0" borderId="11" xfId="18" applyFont="1" applyBorder="1" applyAlignment="1">
      <alignment horizontal="center" vertical="center"/>
    </xf>
    <xf numFmtId="0" fontId="7" fillId="0" borderId="8" xfId="18" applyFont="1" applyBorder="1" applyAlignment="1">
      <alignment horizontal="center" vertical="center"/>
    </xf>
    <xf numFmtId="0" fontId="7" fillId="0" borderId="11" xfId="18" applyFont="1" applyBorder="1" applyAlignment="1">
      <alignment horizontal="center" vertical="center" wrapText="1"/>
    </xf>
    <xf numFmtId="0" fontId="8" fillId="0" borderId="19" xfId="18" applyFont="1" applyBorder="1" applyAlignment="1">
      <alignment horizontal="right" vertical="center"/>
    </xf>
    <xf numFmtId="0" fontId="7" fillId="0" borderId="6" xfId="18"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60" fillId="0" borderId="26" xfId="29" applyFont="1" applyBorder="1" applyAlignment="1">
      <alignment horizontal="left" vertical="center" wrapText="1"/>
    </xf>
    <xf numFmtId="3" fontId="56" fillId="0" borderId="1" xfId="23" applyNumberFormat="1" applyFont="1" applyBorder="1" applyAlignment="1">
      <alignment horizontal="center" vertical="center" wrapText="1"/>
    </xf>
    <xf numFmtId="3" fontId="56" fillId="0" borderId="7" xfId="23" applyNumberFormat="1" applyFont="1" applyBorder="1" applyAlignment="1">
      <alignment horizontal="center" vertical="center" wrapText="1"/>
    </xf>
    <xf numFmtId="0" fontId="56" fillId="0" borderId="1" xfId="22" applyFont="1" applyBorder="1" applyAlignment="1">
      <alignment horizontal="center" vertical="center" wrapText="1"/>
    </xf>
    <xf numFmtId="0" fontId="7" fillId="0" borderId="0" xfId="36" applyFont="1" applyAlignment="1">
      <alignment horizontal="center"/>
    </xf>
    <xf numFmtId="0" fontId="7" fillId="0" borderId="0" xfId="22" applyFont="1" applyAlignment="1">
      <alignment horizontal="center"/>
    </xf>
    <xf numFmtId="0" fontId="8" fillId="0" borderId="0" xfId="22" applyFont="1" applyAlignment="1">
      <alignment horizontal="center" vertical="center" wrapText="1"/>
    </xf>
    <xf numFmtId="1" fontId="8" fillId="0" borderId="19" xfId="23" applyNumberFormat="1" applyFont="1" applyBorder="1" applyAlignment="1">
      <alignment horizontal="center" vertical="center"/>
    </xf>
    <xf numFmtId="0" fontId="56" fillId="0" borderId="7" xfId="22" applyFont="1" applyBorder="1" applyAlignment="1">
      <alignment horizontal="center" vertical="center" wrapText="1"/>
    </xf>
    <xf numFmtId="0" fontId="56" fillId="0" borderId="11" xfId="22" applyFont="1" applyBorder="1" applyAlignment="1">
      <alignment horizontal="center" vertical="center" wrapText="1"/>
    </xf>
    <xf numFmtId="0" fontId="56" fillId="0" borderId="8" xfId="22" applyFont="1" applyBorder="1" applyAlignment="1">
      <alignment horizontal="center" vertical="center" wrapText="1"/>
    </xf>
    <xf numFmtId="0" fontId="5" fillId="0" borderId="0" xfId="17" applyFont="1" applyAlignment="1">
      <alignment horizontal="center" vertical="center" wrapText="1"/>
    </xf>
    <xf numFmtId="0" fontId="12" fillId="0" borderId="0" xfId="18" applyFont="1" applyAlignment="1">
      <alignment horizontal="center"/>
    </xf>
  </cellXfs>
  <cellStyles count="45">
    <cellStyle name="AutoFormat-Optionen 4" xfId="8"/>
    <cellStyle name="Comma" xfId="30" builtinId="3"/>
    <cellStyle name="Comma 10 2" xfId="9"/>
    <cellStyle name="Comma 2" xfId="21"/>
    <cellStyle name="Comma 22 3" xfId="19"/>
    <cellStyle name="Comma 22 3 2" xfId="20"/>
    <cellStyle name="Comma 22 3 3" xfId="7"/>
    <cellStyle name="Comma 22 3 4" xfId="40"/>
    <cellStyle name="Comma 23 2" xfId="10"/>
    <cellStyle name="Comma 3 3" xfId="32"/>
    <cellStyle name="Comma 37" xfId="5"/>
    <cellStyle name="Hyperlink 2" xfId="13"/>
    <cellStyle name="Normal" xfId="0" builtinId="0"/>
    <cellStyle name="Normal 10 2 4 2 5 2 2" xfId="41"/>
    <cellStyle name="Normal 10 2 4 2 6 2" xfId="42"/>
    <cellStyle name="Normal 2" xfId="12"/>
    <cellStyle name="Normal 2 12" xfId="44"/>
    <cellStyle name="Normal 2 3" xfId="18"/>
    <cellStyle name="Normal 2 3_Worksheet in Thong bao phan bo KH 2011 chuyen nguon sang 2012_CT" xfId="26"/>
    <cellStyle name="Normal 2 44" xfId="6"/>
    <cellStyle name="Normal 2 6 2" xfId="11"/>
    <cellStyle name="Normal 2_160507 Bieu mau NSDP ND sua ND73" xfId="2"/>
    <cellStyle name="Normal 3" xfId="15"/>
    <cellStyle name="Normal 3 4" xfId="31"/>
    <cellStyle name="Normal 32" xfId="34"/>
    <cellStyle name="Normal 4" xfId="16"/>
    <cellStyle name="Normal 4 18" xfId="22"/>
    <cellStyle name="Normal 4 2" xfId="17"/>
    <cellStyle name="Normal 4 3" xfId="36"/>
    <cellStyle name="Normal 40" xfId="1"/>
    <cellStyle name="Normal 40 2" xfId="4"/>
    <cellStyle name="Normal 5" xfId="33"/>
    <cellStyle name="Normal 5 2" xfId="35"/>
    <cellStyle name="Normal 5 3" xfId="29"/>
    <cellStyle name="Normal 6 3 2" xfId="25"/>
    <cellStyle name="Normal 6 3 2 2" xfId="38"/>
    <cellStyle name="Normal 6 6 2 2 2" xfId="24"/>
    <cellStyle name="Normal 6 6 2 2 2 2" xfId="37"/>
    <cellStyle name="Normal 62 2 2 2" xfId="43"/>
    <cellStyle name="Normal 62 2 2 4" xfId="28"/>
    <cellStyle name="Normal 62 2 2 4 2" xfId="39"/>
    <cellStyle name="Normal_Bieu mau (CV )" xfId="23"/>
    <cellStyle name="Normal_Chi NSTW NSDP 2002 - PL" xfId="3"/>
    <cellStyle name="Normal_KH 07 chinh thuc in 2" xfId="27"/>
    <cellStyle name="Percent 2" xfId="14"/>
  </cellStyles>
  <dxfs count="0"/>
  <tableStyles count="0" defaultTableStyle="TableStyleMedium2" defaultPivotStyle="PivotStyleLight16"/>
  <colors>
    <mruColors>
      <color rgb="FF0000FF"/>
      <color rgb="FF00660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GUYEN%20VIET%20HA/CONG%20VIEC/N&#259;m%202024/Cong%20viec/7.%20Xay%20dung%20DT%202025/DT%202025%20Trinh%20HDND/TCDN_He%20thong%20bieu%20mau%20DT%202025%20kem%20theo%20TTr%20UBND%20tinh_theo%20TT%20342,%20N&#272;%2031_24-10-24%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ân công TH"/>
      <sheetName val="PL12"/>
      <sheetName val="PL13"/>
      <sheetName val="PL14"/>
      <sheetName val="PL15"/>
      <sheetName val="PL16"/>
      <sheetName val="Dat"/>
      <sheetName val="PL17"/>
      <sheetName val="PL 18_TCDT"/>
      <sheetName val="PL19"/>
      <sheetName val="PL20"/>
      <sheetName val="PL21"/>
      <sheetName val="PL22"/>
      <sheetName val="PL23"/>
      <sheetName val="PL24"/>
      <sheetName val="PL25_TCDT"/>
      <sheetName val="PL26"/>
      <sheetName val="PL27"/>
      <sheetName val="PL28_TCDN"/>
      <sheetName val="PL29"/>
      <sheetName val="PL30"/>
      <sheetName val="PL31"/>
      <sheetName val="PL32"/>
      <sheetName val="Bieu DT thu 2024_CT"/>
      <sheetName val="Bieu CD NSDP"/>
      <sheetName val="PL33"/>
      <sheetName val="PL34"/>
      <sheetName val="PL35"/>
      <sheetName val="PL36_TCDT"/>
      <sheetName val="PL37"/>
      <sheetName val="PL38"/>
      <sheetName val="Chi tinh"/>
      <sheetName val="Bieu CD NSH"/>
      <sheetName val="PL39"/>
      <sheetName val="PL40"/>
      <sheetName val="PL 40a"/>
      <sheetName val="PL40b"/>
      <sheetName val="PL41"/>
      <sheetName val="PL42"/>
      <sheetName val="PL43"/>
      <sheetName val="PL44"/>
      <sheetName val=" PL45_TCDN"/>
      <sheetName val="PL46_TCDT"/>
      <sheetName val="PL4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1">
          <cell r="C11">
            <v>147274.22</v>
          </cell>
          <cell r="H11">
            <v>208436</v>
          </cell>
          <cell r="J11">
            <v>165896</v>
          </cell>
        </row>
        <row r="12">
          <cell r="C12">
            <v>50392</v>
          </cell>
          <cell r="H12">
            <v>13500</v>
          </cell>
          <cell r="I12">
            <v>4000</v>
          </cell>
          <cell r="J12">
            <v>6804</v>
          </cell>
        </row>
        <row r="13">
          <cell r="C13">
            <v>465781.51465999999</v>
          </cell>
          <cell r="H13">
            <v>390651.39090399997</v>
          </cell>
          <cell r="J13">
            <v>591056.72081099998</v>
          </cell>
        </row>
        <row r="14">
          <cell r="C14">
            <v>361.71279299999998</v>
          </cell>
          <cell r="H14">
            <v>5660.55</v>
          </cell>
          <cell r="J14">
            <v>6022.2627929999999</v>
          </cell>
        </row>
        <row r="15">
          <cell r="C15">
            <v>5525.6823629999999</v>
          </cell>
          <cell r="H15">
            <v>8831.2624649999998</v>
          </cell>
          <cell r="J15">
            <v>14356.944828</v>
          </cell>
        </row>
        <row r="16">
          <cell r="C16">
            <v>586.29999999999995</v>
          </cell>
          <cell r="H16">
            <v>344.8</v>
          </cell>
          <cell r="J16">
            <v>401.90000000000003</v>
          </cell>
        </row>
        <row r="17">
          <cell r="C17">
            <v>144</v>
          </cell>
          <cell r="H17">
            <v>310</v>
          </cell>
          <cell r="J17">
            <v>300</v>
          </cell>
        </row>
        <row r="18">
          <cell r="C18">
            <v>0</v>
          </cell>
          <cell r="H18">
            <v>0</v>
          </cell>
          <cell r="J18">
            <v>0</v>
          </cell>
        </row>
        <row r="19">
          <cell r="C19">
            <v>708</v>
          </cell>
          <cell r="H19">
            <v>10</v>
          </cell>
          <cell r="J19">
            <v>68.099999999999994</v>
          </cell>
        </row>
        <row r="20">
          <cell r="C20">
            <v>3799.5438690000001</v>
          </cell>
          <cell r="H20">
            <v>1613.2990129999998</v>
          </cell>
          <cell r="J20">
            <v>1050</v>
          </cell>
        </row>
        <row r="21">
          <cell r="C21">
            <v>209</v>
          </cell>
          <cell r="H21">
            <v>61</v>
          </cell>
          <cell r="J21">
            <v>8.5</v>
          </cell>
        </row>
        <row r="22">
          <cell r="C22">
            <v>8.0050000000000008</v>
          </cell>
          <cell r="H22">
            <v>355.01573000000002</v>
          </cell>
          <cell r="J22">
            <v>355.29700000000003</v>
          </cell>
        </row>
        <row r="23">
          <cell r="C23">
            <v>156</v>
          </cell>
          <cell r="H23">
            <v>0</v>
          </cell>
          <cell r="J23">
            <v>0</v>
          </cell>
        </row>
        <row r="24">
          <cell r="C24">
            <v>1489.765877</v>
          </cell>
          <cell r="H24">
            <v>10</v>
          </cell>
          <cell r="J24">
            <v>1.2</v>
          </cell>
        </row>
        <row r="25">
          <cell r="C25">
            <v>9234</v>
          </cell>
          <cell r="H25">
            <v>1380</v>
          </cell>
          <cell r="J25">
            <v>1380</v>
          </cell>
        </row>
        <row r="26">
          <cell r="C26">
            <v>4987</v>
          </cell>
          <cell r="H26">
            <v>950</v>
          </cell>
          <cell r="I26">
            <v>0</v>
          </cell>
          <cell r="J26">
            <v>920</v>
          </cell>
        </row>
        <row r="27">
          <cell r="C27">
            <v>2900</v>
          </cell>
          <cell r="H27">
            <v>0</v>
          </cell>
          <cell r="J27">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48"/>
  <sheetViews>
    <sheetView showZeros="0" zoomScale="85" zoomScaleNormal="85" workbookViewId="0">
      <pane xSplit="2" ySplit="8" topLeftCell="C9" activePane="bottomRight" state="frozen"/>
      <selection activeCell="A44" sqref="A44:XFD45"/>
      <selection pane="topRight" activeCell="A44" sqref="A44:XFD45"/>
      <selection pane="bottomLeft" activeCell="A44" sqref="A44:XFD45"/>
      <selection pane="bottomRight" activeCell="A44" sqref="A44:XFD45"/>
    </sheetView>
  </sheetViews>
  <sheetFormatPr defaultRowHeight="15.75"/>
  <cols>
    <col min="1" max="1" width="5.85546875" style="212" customWidth="1"/>
    <col min="2" max="2" width="78.140625" style="212" customWidth="1"/>
    <col min="3" max="6" width="16" style="212" customWidth="1"/>
    <col min="7" max="7" width="15.42578125" style="212" customWidth="1"/>
    <col min="8" max="8" width="13" style="212" bestFit="1" customWidth="1"/>
    <col min="9" max="256" width="9.140625" style="212"/>
    <col min="257" max="257" width="5.85546875" style="212" customWidth="1"/>
    <col min="258" max="258" width="78.140625" style="212" customWidth="1"/>
    <col min="259" max="262" width="16" style="212" customWidth="1"/>
    <col min="263" max="263" width="15.42578125" style="212" customWidth="1"/>
    <col min="264" max="264" width="13" style="212" bestFit="1" customWidth="1"/>
    <col min="265" max="512" width="9.140625" style="212"/>
    <col min="513" max="513" width="5.85546875" style="212" customWidth="1"/>
    <col min="514" max="514" width="78.140625" style="212" customWidth="1"/>
    <col min="515" max="518" width="16" style="212" customWidth="1"/>
    <col min="519" max="519" width="15.42578125" style="212" customWidth="1"/>
    <col min="520" max="520" width="13" style="212" bestFit="1" customWidth="1"/>
    <col min="521" max="768" width="9.140625" style="212"/>
    <col min="769" max="769" width="5.85546875" style="212" customWidth="1"/>
    <col min="770" max="770" width="78.140625" style="212" customWidth="1"/>
    <col min="771" max="774" width="16" style="212" customWidth="1"/>
    <col min="775" max="775" width="15.42578125" style="212" customWidth="1"/>
    <col min="776" max="776" width="13" style="212" bestFit="1" customWidth="1"/>
    <col min="777" max="1024" width="9.140625" style="212"/>
    <col min="1025" max="1025" width="5.85546875" style="212" customWidth="1"/>
    <col min="1026" max="1026" width="78.140625" style="212" customWidth="1"/>
    <col min="1027" max="1030" width="16" style="212" customWidth="1"/>
    <col min="1031" max="1031" width="15.42578125" style="212" customWidth="1"/>
    <col min="1032" max="1032" width="13" style="212" bestFit="1" customWidth="1"/>
    <col min="1033" max="1280" width="9.140625" style="212"/>
    <col min="1281" max="1281" width="5.85546875" style="212" customWidth="1"/>
    <col min="1282" max="1282" width="78.140625" style="212" customWidth="1"/>
    <col min="1283" max="1286" width="16" style="212" customWidth="1"/>
    <col min="1287" max="1287" width="15.42578125" style="212" customWidth="1"/>
    <col min="1288" max="1288" width="13" style="212" bestFit="1" customWidth="1"/>
    <col min="1289" max="1536" width="9.140625" style="212"/>
    <col min="1537" max="1537" width="5.85546875" style="212" customWidth="1"/>
    <col min="1538" max="1538" width="78.140625" style="212" customWidth="1"/>
    <col min="1539" max="1542" width="16" style="212" customWidth="1"/>
    <col min="1543" max="1543" width="15.42578125" style="212" customWidth="1"/>
    <col min="1544" max="1544" width="13" style="212" bestFit="1" customWidth="1"/>
    <col min="1545" max="1792" width="9.140625" style="212"/>
    <col min="1793" max="1793" width="5.85546875" style="212" customWidth="1"/>
    <col min="1794" max="1794" width="78.140625" style="212" customWidth="1"/>
    <col min="1795" max="1798" width="16" style="212" customWidth="1"/>
    <col min="1799" max="1799" width="15.42578125" style="212" customWidth="1"/>
    <col min="1800" max="1800" width="13" style="212" bestFit="1" customWidth="1"/>
    <col min="1801" max="2048" width="9.140625" style="212"/>
    <col min="2049" max="2049" width="5.85546875" style="212" customWidth="1"/>
    <col min="2050" max="2050" width="78.140625" style="212" customWidth="1"/>
    <col min="2051" max="2054" width="16" style="212" customWidth="1"/>
    <col min="2055" max="2055" width="15.42578125" style="212" customWidth="1"/>
    <col min="2056" max="2056" width="13" style="212" bestFit="1" customWidth="1"/>
    <col min="2057" max="2304" width="9.140625" style="212"/>
    <col min="2305" max="2305" width="5.85546875" style="212" customWidth="1"/>
    <col min="2306" max="2306" width="78.140625" style="212" customWidth="1"/>
    <col min="2307" max="2310" width="16" style="212" customWidth="1"/>
    <col min="2311" max="2311" width="15.42578125" style="212" customWidth="1"/>
    <col min="2312" max="2312" width="13" style="212" bestFit="1" customWidth="1"/>
    <col min="2313" max="2560" width="9.140625" style="212"/>
    <col min="2561" max="2561" width="5.85546875" style="212" customWidth="1"/>
    <col min="2562" max="2562" width="78.140625" style="212" customWidth="1"/>
    <col min="2563" max="2566" width="16" style="212" customWidth="1"/>
    <col min="2567" max="2567" width="15.42578125" style="212" customWidth="1"/>
    <col min="2568" max="2568" width="13" style="212" bestFit="1" customWidth="1"/>
    <col min="2569" max="2816" width="9.140625" style="212"/>
    <col min="2817" max="2817" width="5.85546875" style="212" customWidth="1"/>
    <col min="2818" max="2818" width="78.140625" style="212" customWidth="1"/>
    <col min="2819" max="2822" width="16" style="212" customWidth="1"/>
    <col min="2823" max="2823" width="15.42578125" style="212" customWidth="1"/>
    <col min="2824" max="2824" width="13" style="212" bestFit="1" customWidth="1"/>
    <col min="2825" max="3072" width="9.140625" style="212"/>
    <col min="3073" max="3073" width="5.85546875" style="212" customWidth="1"/>
    <col min="3074" max="3074" width="78.140625" style="212" customWidth="1"/>
    <col min="3075" max="3078" width="16" style="212" customWidth="1"/>
    <col min="3079" max="3079" width="15.42578125" style="212" customWidth="1"/>
    <col min="3080" max="3080" width="13" style="212" bestFit="1" customWidth="1"/>
    <col min="3081" max="3328" width="9.140625" style="212"/>
    <col min="3329" max="3329" width="5.85546875" style="212" customWidth="1"/>
    <col min="3330" max="3330" width="78.140625" style="212" customWidth="1"/>
    <col min="3331" max="3334" width="16" style="212" customWidth="1"/>
    <col min="3335" max="3335" width="15.42578125" style="212" customWidth="1"/>
    <col min="3336" max="3336" width="13" style="212" bestFit="1" customWidth="1"/>
    <col min="3337" max="3584" width="9.140625" style="212"/>
    <col min="3585" max="3585" width="5.85546875" style="212" customWidth="1"/>
    <col min="3586" max="3586" width="78.140625" style="212" customWidth="1"/>
    <col min="3587" max="3590" width="16" style="212" customWidth="1"/>
    <col min="3591" max="3591" width="15.42578125" style="212" customWidth="1"/>
    <col min="3592" max="3592" width="13" style="212" bestFit="1" customWidth="1"/>
    <col min="3593" max="3840" width="9.140625" style="212"/>
    <col min="3841" max="3841" width="5.85546875" style="212" customWidth="1"/>
    <col min="3842" max="3842" width="78.140625" style="212" customWidth="1"/>
    <col min="3843" max="3846" width="16" style="212" customWidth="1"/>
    <col min="3847" max="3847" width="15.42578125" style="212" customWidth="1"/>
    <col min="3848" max="3848" width="13" style="212" bestFit="1" customWidth="1"/>
    <col min="3849" max="4096" width="9.140625" style="212"/>
    <col min="4097" max="4097" width="5.85546875" style="212" customWidth="1"/>
    <col min="4098" max="4098" width="78.140625" style="212" customWidth="1"/>
    <col min="4099" max="4102" width="16" style="212" customWidth="1"/>
    <col min="4103" max="4103" width="15.42578125" style="212" customWidth="1"/>
    <col min="4104" max="4104" width="13" style="212" bestFit="1" customWidth="1"/>
    <col min="4105" max="4352" width="9.140625" style="212"/>
    <col min="4353" max="4353" width="5.85546875" style="212" customWidth="1"/>
    <col min="4354" max="4354" width="78.140625" style="212" customWidth="1"/>
    <col min="4355" max="4358" width="16" style="212" customWidth="1"/>
    <col min="4359" max="4359" width="15.42578125" style="212" customWidth="1"/>
    <col min="4360" max="4360" width="13" style="212" bestFit="1" customWidth="1"/>
    <col min="4361" max="4608" width="9.140625" style="212"/>
    <col min="4609" max="4609" width="5.85546875" style="212" customWidth="1"/>
    <col min="4610" max="4610" width="78.140625" style="212" customWidth="1"/>
    <col min="4611" max="4614" width="16" style="212" customWidth="1"/>
    <col min="4615" max="4615" width="15.42578125" style="212" customWidth="1"/>
    <col min="4616" max="4616" width="13" style="212" bestFit="1" customWidth="1"/>
    <col min="4617" max="4864" width="9.140625" style="212"/>
    <col min="4865" max="4865" width="5.85546875" style="212" customWidth="1"/>
    <col min="4866" max="4866" width="78.140625" style="212" customWidth="1"/>
    <col min="4867" max="4870" width="16" style="212" customWidth="1"/>
    <col min="4871" max="4871" width="15.42578125" style="212" customWidth="1"/>
    <col min="4872" max="4872" width="13" style="212" bestFit="1" customWidth="1"/>
    <col min="4873" max="5120" width="9.140625" style="212"/>
    <col min="5121" max="5121" width="5.85546875" style="212" customWidth="1"/>
    <col min="5122" max="5122" width="78.140625" style="212" customWidth="1"/>
    <col min="5123" max="5126" width="16" style="212" customWidth="1"/>
    <col min="5127" max="5127" width="15.42578125" style="212" customWidth="1"/>
    <col min="5128" max="5128" width="13" style="212" bestFit="1" customWidth="1"/>
    <col min="5129" max="5376" width="9.140625" style="212"/>
    <col min="5377" max="5377" width="5.85546875" style="212" customWidth="1"/>
    <col min="5378" max="5378" width="78.140625" style="212" customWidth="1"/>
    <col min="5379" max="5382" width="16" style="212" customWidth="1"/>
    <col min="5383" max="5383" width="15.42578125" style="212" customWidth="1"/>
    <col min="5384" max="5384" width="13" style="212" bestFit="1" customWidth="1"/>
    <col min="5385" max="5632" width="9.140625" style="212"/>
    <col min="5633" max="5633" width="5.85546875" style="212" customWidth="1"/>
    <col min="5634" max="5634" width="78.140625" style="212" customWidth="1"/>
    <col min="5635" max="5638" width="16" style="212" customWidth="1"/>
    <col min="5639" max="5639" width="15.42578125" style="212" customWidth="1"/>
    <col min="5640" max="5640" width="13" style="212" bestFit="1" customWidth="1"/>
    <col min="5641" max="5888" width="9.140625" style="212"/>
    <col min="5889" max="5889" width="5.85546875" style="212" customWidth="1"/>
    <col min="5890" max="5890" width="78.140625" style="212" customWidth="1"/>
    <col min="5891" max="5894" width="16" style="212" customWidth="1"/>
    <col min="5895" max="5895" width="15.42578125" style="212" customWidth="1"/>
    <col min="5896" max="5896" width="13" style="212" bestFit="1" customWidth="1"/>
    <col min="5897" max="6144" width="9.140625" style="212"/>
    <col min="6145" max="6145" width="5.85546875" style="212" customWidth="1"/>
    <col min="6146" max="6146" width="78.140625" style="212" customWidth="1"/>
    <col min="6147" max="6150" width="16" style="212" customWidth="1"/>
    <col min="6151" max="6151" width="15.42578125" style="212" customWidth="1"/>
    <col min="6152" max="6152" width="13" style="212" bestFit="1" customWidth="1"/>
    <col min="6153" max="6400" width="9.140625" style="212"/>
    <col min="6401" max="6401" width="5.85546875" style="212" customWidth="1"/>
    <col min="6402" max="6402" width="78.140625" style="212" customWidth="1"/>
    <col min="6403" max="6406" width="16" style="212" customWidth="1"/>
    <col min="6407" max="6407" width="15.42578125" style="212" customWidth="1"/>
    <col min="6408" max="6408" width="13" style="212" bestFit="1" customWidth="1"/>
    <col min="6409" max="6656" width="9.140625" style="212"/>
    <col min="6657" max="6657" width="5.85546875" style="212" customWidth="1"/>
    <col min="6658" max="6658" width="78.140625" style="212" customWidth="1"/>
    <col min="6659" max="6662" width="16" style="212" customWidth="1"/>
    <col min="6663" max="6663" width="15.42578125" style="212" customWidth="1"/>
    <col min="6664" max="6664" width="13" style="212" bestFit="1" customWidth="1"/>
    <col min="6665" max="6912" width="9.140625" style="212"/>
    <col min="6913" max="6913" width="5.85546875" style="212" customWidth="1"/>
    <col min="6914" max="6914" width="78.140625" style="212" customWidth="1"/>
    <col min="6915" max="6918" width="16" style="212" customWidth="1"/>
    <col min="6919" max="6919" width="15.42578125" style="212" customWidth="1"/>
    <col min="6920" max="6920" width="13" style="212" bestFit="1" customWidth="1"/>
    <col min="6921" max="7168" width="9.140625" style="212"/>
    <col min="7169" max="7169" width="5.85546875" style="212" customWidth="1"/>
    <col min="7170" max="7170" width="78.140625" style="212" customWidth="1"/>
    <col min="7171" max="7174" width="16" style="212" customWidth="1"/>
    <col min="7175" max="7175" width="15.42578125" style="212" customWidth="1"/>
    <col min="7176" max="7176" width="13" style="212" bestFit="1" customWidth="1"/>
    <col min="7177" max="7424" width="9.140625" style="212"/>
    <col min="7425" max="7425" width="5.85546875" style="212" customWidth="1"/>
    <col min="7426" max="7426" width="78.140625" style="212" customWidth="1"/>
    <col min="7427" max="7430" width="16" style="212" customWidth="1"/>
    <col min="7431" max="7431" width="15.42578125" style="212" customWidth="1"/>
    <col min="7432" max="7432" width="13" style="212" bestFit="1" customWidth="1"/>
    <col min="7433" max="7680" width="9.140625" style="212"/>
    <col min="7681" max="7681" width="5.85546875" style="212" customWidth="1"/>
    <col min="7682" max="7682" width="78.140625" style="212" customWidth="1"/>
    <col min="7683" max="7686" width="16" style="212" customWidth="1"/>
    <col min="7687" max="7687" width="15.42578125" style="212" customWidth="1"/>
    <col min="7688" max="7688" width="13" style="212" bestFit="1" customWidth="1"/>
    <col min="7689" max="7936" width="9.140625" style="212"/>
    <col min="7937" max="7937" width="5.85546875" style="212" customWidth="1"/>
    <col min="7938" max="7938" width="78.140625" style="212" customWidth="1"/>
    <col min="7939" max="7942" width="16" style="212" customWidth="1"/>
    <col min="7943" max="7943" width="15.42578125" style="212" customWidth="1"/>
    <col min="7944" max="7944" width="13" style="212" bestFit="1" customWidth="1"/>
    <col min="7945" max="8192" width="9.140625" style="212"/>
    <col min="8193" max="8193" width="5.85546875" style="212" customWidth="1"/>
    <col min="8194" max="8194" width="78.140625" style="212" customWidth="1"/>
    <col min="8195" max="8198" width="16" style="212" customWidth="1"/>
    <col min="8199" max="8199" width="15.42578125" style="212" customWidth="1"/>
    <col min="8200" max="8200" width="13" style="212" bestFit="1" customWidth="1"/>
    <col min="8201" max="8448" width="9.140625" style="212"/>
    <col min="8449" max="8449" width="5.85546875" style="212" customWidth="1"/>
    <col min="8450" max="8450" width="78.140625" style="212" customWidth="1"/>
    <col min="8451" max="8454" width="16" style="212" customWidth="1"/>
    <col min="8455" max="8455" width="15.42578125" style="212" customWidth="1"/>
    <col min="8456" max="8456" width="13" style="212" bestFit="1" customWidth="1"/>
    <col min="8457" max="8704" width="9.140625" style="212"/>
    <col min="8705" max="8705" width="5.85546875" style="212" customWidth="1"/>
    <col min="8706" max="8706" width="78.140625" style="212" customWidth="1"/>
    <col min="8707" max="8710" width="16" style="212" customWidth="1"/>
    <col min="8711" max="8711" width="15.42578125" style="212" customWidth="1"/>
    <col min="8712" max="8712" width="13" style="212" bestFit="1" customWidth="1"/>
    <col min="8713" max="8960" width="9.140625" style="212"/>
    <col min="8961" max="8961" width="5.85546875" style="212" customWidth="1"/>
    <col min="8962" max="8962" width="78.140625" style="212" customWidth="1"/>
    <col min="8963" max="8966" width="16" style="212" customWidth="1"/>
    <col min="8967" max="8967" width="15.42578125" style="212" customWidth="1"/>
    <col min="8968" max="8968" width="13" style="212" bestFit="1" customWidth="1"/>
    <col min="8969" max="9216" width="9.140625" style="212"/>
    <col min="9217" max="9217" width="5.85546875" style="212" customWidth="1"/>
    <col min="9218" max="9218" width="78.140625" style="212" customWidth="1"/>
    <col min="9219" max="9222" width="16" style="212" customWidth="1"/>
    <col min="9223" max="9223" width="15.42578125" style="212" customWidth="1"/>
    <col min="9224" max="9224" width="13" style="212" bestFit="1" customWidth="1"/>
    <col min="9225" max="9472" width="9.140625" style="212"/>
    <col min="9473" max="9473" width="5.85546875" style="212" customWidth="1"/>
    <col min="9474" max="9474" width="78.140625" style="212" customWidth="1"/>
    <col min="9475" max="9478" width="16" style="212" customWidth="1"/>
    <col min="9479" max="9479" width="15.42578125" style="212" customWidth="1"/>
    <col min="9480" max="9480" width="13" style="212" bestFit="1" customWidth="1"/>
    <col min="9481" max="9728" width="9.140625" style="212"/>
    <col min="9729" max="9729" width="5.85546875" style="212" customWidth="1"/>
    <col min="9730" max="9730" width="78.140625" style="212" customWidth="1"/>
    <col min="9731" max="9734" width="16" style="212" customWidth="1"/>
    <col min="9735" max="9735" width="15.42578125" style="212" customWidth="1"/>
    <col min="9736" max="9736" width="13" style="212" bestFit="1" customWidth="1"/>
    <col min="9737" max="9984" width="9.140625" style="212"/>
    <col min="9985" max="9985" width="5.85546875" style="212" customWidth="1"/>
    <col min="9986" max="9986" width="78.140625" style="212" customWidth="1"/>
    <col min="9987" max="9990" width="16" style="212" customWidth="1"/>
    <col min="9991" max="9991" width="15.42578125" style="212" customWidth="1"/>
    <col min="9992" max="9992" width="13" style="212" bestFit="1" customWidth="1"/>
    <col min="9993" max="10240" width="9.140625" style="212"/>
    <col min="10241" max="10241" width="5.85546875" style="212" customWidth="1"/>
    <col min="10242" max="10242" width="78.140625" style="212" customWidth="1"/>
    <col min="10243" max="10246" width="16" style="212" customWidth="1"/>
    <col min="10247" max="10247" width="15.42578125" style="212" customWidth="1"/>
    <col min="10248" max="10248" width="13" style="212" bestFit="1" customWidth="1"/>
    <col min="10249" max="10496" width="9.140625" style="212"/>
    <col min="10497" max="10497" width="5.85546875" style="212" customWidth="1"/>
    <col min="10498" max="10498" width="78.140625" style="212" customWidth="1"/>
    <col min="10499" max="10502" width="16" style="212" customWidth="1"/>
    <col min="10503" max="10503" width="15.42578125" style="212" customWidth="1"/>
    <col min="10504" max="10504" width="13" style="212" bestFit="1" customWidth="1"/>
    <col min="10505" max="10752" width="9.140625" style="212"/>
    <col min="10753" max="10753" width="5.85546875" style="212" customWidth="1"/>
    <col min="10754" max="10754" width="78.140625" style="212" customWidth="1"/>
    <col min="10755" max="10758" width="16" style="212" customWidth="1"/>
    <col min="10759" max="10759" width="15.42578125" style="212" customWidth="1"/>
    <col min="10760" max="10760" width="13" style="212" bestFit="1" customWidth="1"/>
    <col min="10761" max="11008" width="9.140625" style="212"/>
    <col min="11009" max="11009" width="5.85546875" style="212" customWidth="1"/>
    <col min="11010" max="11010" width="78.140625" style="212" customWidth="1"/>
    <col min="11011" max="11014" width="16" style="212" customWidth="1"/>
    <col min="11015" max="11015" width="15.42578125" style="212" customWidth="1"/>
    <col min="11016" max="11016" width="13" style="212" bestFit="1" customWidth="1"/>
    <col min="11017" max="11264" width="9.140625" style="212"/>
    <col min="11265" max="11265" width="5.85546875" style="212" customWidth="1"/>
    <col min="11266" max="11266" width="78.140625" style="212" customWidth="1"/>
    <col min="11267" max="11270" width="16" style="212" customWidth="1"/>
    <col min="11271" max="11271" width="15.42578125" style="212" customWidth="1"/>
    <col min="11272" max="11272" width="13" style="212" bestFit="1" customWidth="1"/>
    <col min="11273" max="11520" width="9.140625" style="212"/>
    <col min="11521" max="11521" width="5.85546875" style="212" customWidth="1"/>
    <col min="11522" max="11522" width="78.140625" style="212" customWidth="1"/>
    <col min="11523" max="11526" width="16" style="212" customWidth="1"/>
    <col min="11527" max="11527" width="15.42578125" style="212" customWidth="1"/>
    <col min="11528" max="11528" width="13" style="212" bestFit="1" customWidth="1"/>
    <col min="11529" max="11776" width="9.140625" style="212"/>
    <col min="11777" max="11777" width="5.85546875" style="212" customWidth="1"/>
    <col min="11778" max="11778" width="78.140625" style="212" customWidth="1"/>
    <col min="11779" max="11782" width="16" style="212" customWidth="1"/>
    <col min="11783" max="11783" width="15.42578125" style="212" customWidth="1"/>
    <col min="11784" max="11784" width="13" style="212" bestFit="1" customWidth="1"/>
    <col min="11785" max="12032" width="9.140625" style="212"/>
    <col min="12033" max="12033" width="5.85546875" style="212" customWidth="1"/>
    <col min="12034" max="12034" width="78.140625" style="212" customWidth="1"/>
    <col min="12035" max="12038" width="16" style="212" customWidth="1"/>
    <col min="12039" max="12039" width="15.42578125" style="212" customWidth="1"/>
    <col min="12040" max="12040" width="13" style="212" bestFit="1" customWidth="1"/>
    <col min="12041" max="12288" width="9.140625" style="212"/>
    <col min="12289" max="12289" width="5.85546875" style="212" customWidth="1"/>
    <col min="12290" max="12290" width="78.140625" style="212" customWidth="1"/>
    <col min="12291" max="12294" width="16" style="212" customWidth="1"/>
    <col min="12295" max="12295" width="15.42578125" style="212" customWidth="1"/>
    <col min="12296" max="12296" width="13" style="212" bestFit="1" customWidth="1"/>
    <col min="12297" max="12544" width="9.140625" style="212"/>
    <col min="12545" max="12545" width="5.85546875" style="212" customWidth="1"/>
    <col min="12546" max="12546" width="78.140625" style="212" customWidth="1"/>
    <col min="12547" max="12550" width="16" style="212" customWidth="1"/>
    <col min="12551" max="12551" width="15.42578125" style="212" customWidth="1"/>
    <col min="12552" max="12552" width="13" style="212" bestFit="1" customWidth="1"/>
    <col min="12553" max="12800" width="9.140625" style="212"/>
    <col min="12801" max="12801" width="5.85546875" style="212" customWidth="1"/>
    <col min="12802" max="12802" width="78.140625" style="212" customWidth="1"/>
    <col min="12803" max="12806" width="16" style="212" customWidth="1"/>
    <col min="12807" max="12807" width="15.42578125" style="212" customWidth="1"/>
    <col min="12808" max="12808" width="13" style="212" bestFit="1" customWidth="1"/>
    <col min="12809" max="13056" width="9.140625" style="212"/>
    <col min="13057" max="13057" width="5.85546875" style="212" customWidth="1"/>
    <col min="13058" max="13058" width="78.140625" style="212" customWidth="1"/>
    <col min="13059" max="13062" width="16" style="212" customWidth="1"/>
    <col min="13063" max="13063" width="15.42578125" style="212" customWidth="1"/>
    <col min="13064" max="13064" width="13" style="212" bestFit="1" customWidth="1"/>
    <col min="13065" max="13312" width="9.140625" style="212"/>
    <col min="13313" max="13313" width="5.85546875" style="212" customWidth="1"/>
    <col min="13314" max="13314" width="78.140625" style="212" customWidth="1"/>
    <col min="13315" max="13318" width="16" style="212" customWidth="1"/>
    <col min="13319" max="13319" width="15.42578125" style="212" customWidth="1"/>
    <col min="13320" max="13320" width="13" style="212" bestFit="1" customWidth="1"/>
    <col min="13321" max="13568" width="9.140625" style="212"/>
    <col min="13569" max="13569" width="5.85546875" style="212" customWidth="1"/>
    <col min="13570" max="13570" width="78.140625" style="212" customWidth="1"/>
    <col min="13571" max="13574" width="16" style="212" customWidth="1"/>
    <col min="13575" max="13575" width="15.42578125" style="212" customWidth="1"/>
    <col min="13576" max="13576" width="13" style="212" bestFit="1" customWidth="1"/>
    <col min="13577" max="13824" width="9.140625" style="212"/>
    <col min="13825" max="13825" width="5.85546875" style="212" customWidth="1"/>
    <col min="13826" max="13826" width="78.140625" style="212" customWidth="1"/>
    <col min="13827" max="13830" width="16" style="212" customWidth="1"/>
    <col min="13831" max="13831" width="15.42578125" style="212" customWidth="1"/>
    <col min="13832" max="13832" width="13" style="212" bestFit="1" customWidth="1"/>
    <col min="13833" max="14080" width="9.140625" style="212"/>
    <col min="14081" max="14081" width="5.85546875" style="212" customWidth="1"/>
    <col min="14082" max="14082" width="78.140625" style="212" customWidth="1"/>
    <col min="14083" max="14086" width="16" style="212" customWidth="1"/>
    <col min="14087" max="14087" width="15.42578125" style="212" customWidth="1"/>
    <col min="14088" max="14088" width="13" style="212" bestFit="1" customWidth="1"/>
    <col min="14089" max="14336" width="9.140625" style="212"/>
    <col min="14337" max="14337" width="5.85546875" style="212" customWidth="1"/>
    <col min="14338" max="14338" width="78.140625" style="212" customWidth="1"/>
    <col min="14339" max="14342" width="16" style="212" customWidth="1"/>
    <col min="14343" max="14343" width="15.42578125" style="212" customWidth="1"/>
    <col min="14344" max="14344" width="13" style="212" bestFit="1" customWidth="1"/>
    <col min="14345" max="14592" width="9.140625" style="212"/>
    <col min="14593" max="14593" width="5.85546875" style="212" customWidth="1"/>
    <col min="14594" max="14594" width="78.140625" style="212" customWidth="1"/>
    <col min="14595" max="14598" width="16" style="212" customWidth="1"/>
    <col min="14599" max="14599" width="15.42578125" style="212" customWidth="1"/>
    <col min="14600" max="14600" width="13" style="212" bestFit="1" customWidth="1"/>
    <col min="14601" max="14848" width="9.140625" style="212"/>
    <col min="14849" max="14849" width="5.85546875" style="212" customWidth="1"/>
    <col min="14850" max="14850" width="78.140625" style="212" customWidth="1"/>
    <col min="14851" max="14854" width="16" style="212" customWidth="1"/>
    <col min="14855" max="14855" width="15.42578125" style="212" customWidth="1"/>
    <col min="14856" max="14856" width="13" style="212" bestFit="1" customWidth="1"/>
    <col min="14857" max="15104" width="9.140625" style="212"/>
    <col min="15105" max="15105" width="5.85546875" style="212" customWidth="1"/>
    <col min="15106" max="15106" width="78.140625" style="212" customWidth="1"/>
    <col min="15107" max="15110" width="16" style="212" customWidth="1"/>
    <col min="15111" max="15111" width="15.42578125" style="212" customWidth="1"/>
    <col min="15112" max="15112" width="13" style="212" bestFit="1" customWidth="1"/>
    <col min="15113" max="15360" width="9.140625" style="212"/>
    <col min="15361" max="15361" width="5.85546875" style="212" customWidth="1"/>
    <col min="15362" max="15362" width="78.140625" style="212" customWidth="1"/>
    <col min="15363" max="15366" width="16" style="212" customWidth="1"/>
    <col min="15367" max="15367" width="15.42578125" style="212" customWidth="1"/>
    <col min="15368" max="15368" width="13" style="212" bestFit="1" customWidth="1"/>
    <col min="15369" max="15616" width="9.140625" style="212"/>
    <col min="15617" max="15617" width="5.85546875" style="212" customWidth="1"/>
    <col min="15618" max="15618" width="78.140625" style="212" customWidth="1"/>
    <col min="15619" max="15622" width="16" style="212" customWidth="1"/>
    <col min="15623" max="15623" width="15.42578125" style="212" customWidth="1"/>
    <col min="15624" max="15624" width="13" style="212" bestFit="1" customWidth="1"/>
    <col min="15625" max="15872" width="9.140625" style="212"/>
    <col min="15873" max="15873" width="5.85546875" style="212" customWidth="1"/>
    <col min="15874" max="15874" width="78.140625" style="212" customWidth="1"/>
    <col min="15875" max="15878" width="16" style="212" customWidth="1"/>
    <col min="15879" max="15879" width="15.42578125" style="212" customWidth="1"/>
    <col min="15880" max="15880" width="13" style="212" bestFit="1" customWidth="1"/>
    <col min="15881" max="16128" width="9.140625" style="212"/>
    <col min="16129" max="16129" width="5.85546875" style="212" customWidth="1"/>
    <col min="16130" max="16130" width="78.140625" style="212" customWidth="1"/>
    <col min="16131" max="16134" width="16" style="212" customWidth="1"/>
    <col min="16135" max="16135" width="15.42578125" style="212" customWidth="1"/>
    <col min="16136" max="16136" width="13" style="212" bestFit="1" customWidth="1"/>
    <col min="16137" max="16384" width="9.140625" style="212"/>
  </cols>
  <sheetData>
    <row r="1" spans="1:8" ht="18.75">
      <c r="A1" s="209"/>
      <c r="B1" s="210"/>
      <c r="C1" s="211"/>
      <c r="D1" s="211"/>
      <c r="E1" s="1022" t="s">
        <v>523</v>
      </c>
      <c r="F1" s="1022"/>
    </row>
    <row r="2" spans="1:8" ht="21" customHeight="1">
      <c r="A2" s="1023" t="s">
        <v>524</v>
      </c>
      <c r="B2" s="1023"/>
      <c r="C2" s="1023"/>
      <c r="D2" s="1023"/>
      <c r="E2" s="1023"/>
      <c r="F2" s="1023"/>
    </row>
    <row r="3" spans="1:8" ht="27.75" customHeight="1">
      <c r="A3" s="1024" t="s">
        <v>525</v>
      </c>
      <c r="B3" s="1024"/>
      <c r="C3" s="1024"/>
      <c r="D3" s="1024"/>
      <c r="E3" s="1024"/>
      <c r="F3" s="1024"/>
    </row>
    <row r="4" spans="1:8" ht="41.25" customHeight="1">
      <c r="A4" s="479"/>
      <c r="B4" s="478"/>
      <c r="C4" s="480"/>
      <c r="D4" s="481"/>
      <c r="E4" s="1025" t="s">
        <v>2</v>
      </c>
      <c r="F4" s="1025"/>
    </row>
    <row r="5" spans="1:8" s="213" customFormat="1" ht="26.25" customHeight="1">
      <c r="A5" s="1026" t="s">
        <v>3</v>
      </c>
      <c r="B5" s="1026" t="s">
        <v>526</v>
      </c>
      <c r="C5" s="1029" t="s">
        <v>5</v>
      </c>
      <c r="D5" s="1029" t="s">
        <v>6</v>
      </c>
      <c r="E5" s="1032" t="s">
        <v>7</v>
      </c>
      <c r="F5" s="1032"/>
      <c r="H5" s="543"/>
    </row>
    <row r="6" spans="1:8" s="213" customFormat="1" ht="26.25" customHeight="1">
      <c r="A6" s="1027"/>
      <c r="B6" s="1027"/>
      <c r="C6" s="1030"/>
      <c r="D6" s="1030"/>
      <c r="E6" s="1026" t="s">
        <v>8</v>
      </c>
      <c r="F6" s="1018" t="s">
        <v>9</v>
      </c>
    </row>
    <row r="7" spans="1:8" s="213" customFormat="1" ht="14.25" customHeight="1">
      <c r="A7" s="1028"/>
      <c r="B7" s="1028"/>
      <c r="C7" s="1031"/>
      <c r="D7" s="1031"/>
      <c r="E7" s="1028"/>
      <c r="F7" s="1019"/>
    </row>
    <row r="8" spans="1:8" s="214" customFormat="1" ht="17.25" customHeight="1">
      <c r="A8" s="482" t="s">
        <v>10</v>
      </c>
      <c r="B8" s="482" t="s">
        <v>11</v>
      </c>
      <c r="C8" s="483">
        <v>1</v>
      </c>
      <c r="D8" s="483">
        <f>C8+1</f>
        <v>2</v>
      </c>
      <c r="E8" s="482" t="s">
        <v>12</v>
      </c>
      <c r="F8" s="482" t="s">
        <v>13</v>
      </c>
    </row>
    <row r="9" spans="1:8" s="208" customFormat="1" ht="32.25" customHeight="1">
      <c r="A9" s="484" t="s">
        <v>10</v>
      </c>
      <c r="B9" s="485" t="s">
        <v>527</v>
      </c>
      <c r="C9" s="486">
        <f>C10+C13+C16+C17+C18</f>
        <v>10634124</v>
      </c>
      <c r="D9" s="486">
        <f>D10+D13+D16+D17+D18</f>
        <v>16985444.399999999</v>
      </c>
      <c r="E9" s="487">
        <f>D9-C9</f>
        <v>6351320.3999999985</v>
      </c>
      <c r="F9" s="488">
        <f>D9/C9</f>
        <v>1.5972584483686667</v>
      </c>
      <c r="G9" s="215"/>
      <c r="H9" s="215"/>
    </row>
    <row r="10" spans="1:8" s="208" customFormat="1" ht="32.25" customHeight="1">
      <c r="A10" s="489" t="s">
        <v>15</v>
      </c>
      <c r="B10" s="490" t="s">
        <v>528</v>
      </c>
      <c r="C10" s="491">
        <f>C11+C12</f>
        <v>4130600</v>
      </c>
      <c r="D10" s="491">
        <v>3931000</v>
      </c>
      <c r="E10" s="492">
        <f t="shared" ref="E10:E41" si="0">D10-C10</f>
        <v>-199600</v>
      </c>
      <c r="F10" s="493">
        <f t="shared" ref="F10:F30" si="1">D10/C10</f>
        <v>0.95167772236478965</v>
      </c>
    </row>
    <row r="11" spans="1:8" s="208" customFormat="1" ht="32.25" customHeight="1">
      <c r="A11" s="494">
        <v>1</v>
      </c>
      <c r="B11" s="495" t="s">
        <v>529</v>
      </c>
      <c r="C11" s="496">
        <v>2779500</v>
      </c>
      <c r="D11" s="496">
        <v>2508653</v>
      </c>
      <c r="E11" s="497">
        <f t="shared" si="0"/>
        <v>-270847</v>
      </c>
      <c r="F11" s="498">
        <f t="shared" si="1"/>
        <v>0.90255549559273252</v>
      </c>
    </row>
    <row r="12" spans="1:8" s="208" customFormat="1" ht="32.25" customHeight="1">
      <c r="A12" s="494">
        <f>A11+1</f>
        <v>2</v>
      </c>
      <c r="B12" s="495" t="s">
        <v>530</v>
      </c>
      <c r="C12" s="496">
        <v>1351100</v>
      </c>
      <c r="D12" s="496">
        <v>1422347</v>
      </c>
      <c r="E12" s="497">
        <f t="shared" si="0"/>
        <v>71247</v>
      </c>
      <c r="F12" s="498">
        <f t="shared" si="1"/>
        <v>1.0527325882614167</v>
      </c>
      <c r="H12" s="215"/>
    </row>
    <row r="13" spans="1:8" s="208" customFormat="1" ht="32.25" customHeight="1">
      <c r="A13" s="489" t="s">
        <v>25</v>
      </c>
      <c r="B13" s="490" t="s">
        <v>18</v>
      </c>
      <c r="C13" s="491">
        <f>C14+C15</f>
        <v>6503524</v>
      </c>
      <c r="D13" s="491">
        <f>D14+D15</f>
        <v>8453028.4000000004</v>
      </c>
      <c r="E13" s="492">
        <f t="shared" si="0"/>
        <v>1949504.4000000004</v>
      </c>
      <c r="F13" s="493">
        <f t="shared" si="1"/>
        <v>1.2997612371385114</v>
      </c>
      <c r="H13" s="208" t="s">
        <v>1071</v>
      </c>
    </row>
    <row r="14" spans="1:8" s="208" customFormat="1" ht="32.25" customHeight="1">
      <c r="A14" s="494">
        <v>1</v>
      </c>
      <c r="B14" s="495" t="s">
        <v>20</v>
      </c>
      <c r="C14" s="496">
        <v>4162191</v>
      </c>
      <c r="D14" s="496">
        <f>C14</f>
        <v>4162191</v>
      </c>
      <c r="E14" s="497">
        <f t="shared" si="0"/>
        <v>0</v>
      </c>
      <c r="F14" s="498">
        <f t="shared" si="1"/>
        <v>1</v>
      </c>
    </row>
    <row r="15" spans="1:8" s="208" customFormat="1" ht="32.25" customHeight="1">
      <c r="A15" s="494">
        <f>A14+1</f>
        <v>2</v>
      </c>
      <c r="B15" s="495" t="s">
        <v>21</v>
      </c>
      <c r="C15" s="496">
        <v>2341333</v>
      </c>
      <c r="D15" s="496">
        <f>D30</f>
        <v>4290837.4000000004</v>
      </c>
      <c r="E15" s="497">
        <f t="shared" si="0"/>
        <v>1949504.4000000004</v>
      </c>
      <c r="F15" s="498">
        <f t="shared" si="1"/>
        <v>1.8326472142151502</v>
      </c>
      <c r="G15" s="215"/>
    </row>
    <row r="16" spans="1:8" s="217" customFormat="1" ht="32.25" customHeight="1">
      <c r="A16" s="489" t="s">
        <v>32</v>
      </c>
      <c r="B16" s="490" t="s">
        <v>531</v>
      </c>
      <c r="C16" s="491"/>
      <c r="D16" s="491"/>
      <c r="E16" s="492">
        <f t="shared" si="0"/>
        <v>0</v>
      </c>
      <c r="F16" s="493"/>
    </row>
    <row r="17" spans="1:9" s="217" customFormat="1" ht="32.25" customHeight="1">
      <c r="A17" s="489" t="s">
        <v>67</v>
      </c>
      <c r="B17" s="490" t="s">
        <v>23</v>
      </c>
      <c r="C17" s="491"/>
      <c r="D17" s="491">
        <v>171690</v>
      </c>
      <c r="E17" s="492">
        <f t="shared" si="0"/>
        <v>171690</v>
      </c>
      <c r="F17" s="493"/>
    </row>
    <row r="18" spans="1:9" s="208" customFormat="1" ht="32.25" customHeight="1">
      <c r="A18" s="489" t="s">
        <v>69</v>
      </c>
      <c r="B18" s="499" t="s">
        <v>24</v>
      </c>
      <c r="C18" s="491"/>
      <c r="D18" s="491">
        <v>4429726</v>
      </c>
      <c r="E18" s="492">
        <f t="shared" si="0"/>
        <v>4429726</v>
      </c>
      <c r="F18" s="493"/>
    </row>
    <row r="19" spans="1:9" s="208" customFormat="1" ht="32.25" customHeight="1">
      <c r="A19" s="500" t="s">
        <v>11</v>
      </c>
      <c r="B19" s="501" t="s">
        <v>41</v>
      </c>
      <c r="C19" s="491">
        <f>C20+C30</f>
        <v>10702624</v>
      </c>
      <c r="D19" s="491">
        <f>D20+D30+D33+D34</f>
        <v>16719621.000000002</v>
      </c>
      <c r="E19" s="492">
        <f t="shared" si="0"/>
        <v>6016997.0000000019</v>
      </c>
      <c r="F19" s="493">
        <f t="shared" si="1"/>
        <v>1.5621982982864764</v>
      </c>
      <c r="G19" s="215"/>
      <c r="H19" s="215"/>
      <c r="I19" s="215"/>
    </row>
    <row r="20" spans="1:9" s="208" customFormat="1" ht="32.25" customHeight="1">
      <c r="A20" s="500" t="s">
        <v>15</v>
      </c>
      <c r="B20" s="501" t="s">
        <v>532</v>
      </c>
      <c r="C20" s="491">
        <f>C21+C22+C23+C24+C25+C26+C27+C29+C28</f>
        <v>8361291</v>
      </c>
      <c r="D20" s="491">
        <f>D21+D22+D23+D24+D25+D26+D27+D29+D28</f>
        <v>8263162.4000000004</v>
      </c>
      <c r="E20" s="492">
        <f t="shared" si="0"/>
        <v>-98128.599999999627</v>
      </c>
      <c r="F20" s="493">
        <f t="shared" si="1"/>
        <v>0.98826394153725783</v>
      </c>
    </row>
    <row r="21" spans="1:9" s="208" customFormat="1" ht="32.25" customHeight="1">
      <c r="A21" s="502">
        <v>1</v>
      </c>
      <c r="B21" s="503" t="s">
        <v>99</v>
      </c>
      <c r="C21" s="496">
        <v>1027220</v>
      </c>
      <c r="D21" s="496">
        <v>1442000</v>
      </c>
      <c r="E21" s="497">
        <f t="shared" si="0"/>
        <v>414780</v>
      </c>
      <c r="F21" s="498">
        <f t="shared" si="1"/>
        <v>1.4037888670391931</v>
      </c>
      <c r="H21" s="215"/>
    </row>
    <row r="22" spans="1:9" s="208" customFormat="1" ht="32.25" customHeight="1">
      <c r="A22" s="502">
        <f>A21+1</f>
        <v>2</v>
      </c>
      <c r="B22" s="503" t="s">
        <v>63</v>
      </c>
      <c r="C22" s="496">
        <v>5777927</v>
      </c>
      <c r="D22" s="496">
        <v>6452000</v>
      </c>
      <c r="E22" s="497">
        <f t="shared" si="0"/>
        <v>674073</v>
      </c>
      <c r="F22" s="498">
        <f t="shared" si="1"/>
        <v>1.1166634677108243</v>
      </c>
    </row>
    <row r="23" spans="1:9" s="208" customFormat="1" ht="32.25" customHeight="1">
      <c r="A23" s="502">
        <f>A22+1</f>
        <v>3</v>
      </c>
      <c r="B23" s="504" t="s">
        <v>533</v>
      </c>
      <c r="C23" s="496">
        <v>2100</v>
      </c>
      <c r="D23" s="496">
        <v>10706</v>
      </c>
      <c r="E23" s="497">
        <f t="shared" si="0"/>
        <v>8606</v>
      </c>
      <c r="F23" s="498">
        <f t="shared" si="1"/>
        <v>5.0980952380952385</v>
      </c>
    </row>
    <row r="24" spans="1:9" s="208" customFormat="1" ht="32.25" customHeight="1">
      <c r="A24" s="502">
        <f>A23+1</f>
        <v>4</v>
      </c>
      <c r="B24" s="503" t="s">
        <v>534</v>
      </c>
      <c r="C24" s="496">
        <v>1000</v>
      </c>
      <c r="D24" s="496">
        <v>1000</v>
      </c>
      <c r="E24" s="497">
        <f t="shared" si="0"/>
        <v>0</v>
      </c>
      <c r="F24" s="498">
        <f t="shared" si="1"/>
        <v>1</v>
      </c>
    </row>
    <row r="25" spans="1:9" s="208" customFormat="1" ht="32.25" customHeight="1">
      <c r="A25" s="502">
        <f>A24+1</f>
        <v>5</v>
      </c>
      <c r="B25" s="503" t="s">
        <v>370</v>
      </c>
      <c r="C25" s="496">
        <v>165856</v>
      </c>
      <c r="D25" s="496"/>
      <c r="E25" s="497">
        <f t="shared" si="0"/>
        <v>-165856</v>
      </c>
      <c r="F25" s="498">
        <f t="shared" si="1"/>
        <v>0</v>
      </c>
    </row>
    <row r="26" spans="1:9" s="208" customFormat="1" ht="32.25" customHeight="1">
      <c r="A26" s="502">
        <f>A25+1</f>
        <v>6</v>
      </c>
      <c r="B26" s="503" t="s">
        <v>535</v>
      </c>
      <c r="C26" s="496"/>
      <c r="D26" s="496"/>
      <c r="E26" s="497">
        <f t="shared" si="0"/>
        <v>0</v>
      </c>
      <c r="F26" s="498"/>
    </row>
    <row r="27" spans="1:9" s="208" customFormat="1" ht="63" customHeight="1">
      <c r="A27" s="502">
        <v>7</v>
      </c>
      <c r="B27" s="504" t="s">
        <v>536</v>
      </c>
      <c r="C27" s="496">
        <v>1318688</v>
      </c>
      <c r="D27" s="496">
        <v>333799</v>
      </c>
      <c r="E27" s="497">
        <f t="shared" si="0"/>
        <v>-984889</v>
      </c>
      <c r="F27" s="498">
        <f t="shared" si="1"/>
        <v>0.2531296258098959</v>
      </c>
    </row>
    <row r="28" spans="1:9" s="208" customFormat="1" ht="33.75" customHeight="1">
      <c r="A28" s="502">
        <f>A27+1</f>
        <v>8</v>
      </c>
      <c r="B28" s="504" t="s">
        <v>559</v>
      </c>
      <c r="C28" s="496"/>
      <c r="D28" s="496">
        <v>15000</v>
      </c>
      <c r="E28" s="497"/>
      <c r="F28" s="498"/>
      <c r="H28" s="215"/>
    </row>
    <row r="29" spans="1:9" s="208" customFormat="1" ht="33.75" customHeight="1">
      <c r="A29" s="502">
        <v>9</v>
      </c>
      <c r="B29" s="504" t="s">
        <v>537</v>
      </c>
      <c r="C29" s="496">
        <v>68500</v>
      </c>
      <c r="D29" s="496">
        <v>8657.4</v>
      </c>
      <c r="E29" s="497">
        <f t="shared" si="0"/>
        <v>-59842.6</v>
      </c>
      <c r="F29" s="498"/>
    </row>
    <row r="30" spans="1:9" s="208" customFormat="1" ht="33.75" customHeight="1">
      <c r="A30" s="500" t="s">
        <v>25</v>
      </c>
      <c r="B30" s="501" t="s">
        <v>538</v>
      </c>
      <c r="C30" s="491">
        <f>C31+C32</f>
        <v>2341333</v>
      </c>
      <c r="D30" s="491">
        <f>D31+D32</f>
        <v>4290837.4000000004</v>
      </c>
      <c r="E30" s="492">
        <f t="shared" si="0"/>
        <v>1949504.4000000004</v>
      </c>
      <c r="F30" s="498">
        <f t="shared" si="1"/>
        <v>1.8326472142151502</v>
      </c>
      <c r="G30" s="215"/>
    </row>
    <row r="31" spans="1:9" s="208" customFormat="1" ht="33.75" customHeight="1">
      <c r="A31" s="502">
        <v>1</v>
      </c>
      <c r="B31" s="503" t="s">
        <v>77</v>
      </c>
      <c r="C31" s="496">
        <v>1353958</v>
      </c>
      <c r="D31" s="496">
        <f>110273+722200.4</f>
        <v>832473.4</v>
      </c>
      <c r="E31" s="497">
        <f t="shared" si="0"/>
        <v>-521484.6</v>
      </c>
      <c r="F31" s="498"/>
      <c r="G31" s="215"/>
    </row>
    <row r="32" spans="1:9" s="208" customFormat="1" ht="33.75" customHeight="1">
      <c r="A32" s="502">
        <f>A31+1</f>
        <v>2</v>
      </c>
      <c r="B32" s="503" t="s">
        <v>381</v>
      </c>
      <c r="C32" s="496">
        <v>987375</v>
      </c>
      <c r="D32" s="496">
        <f>3198000-110273+370637</f>
        <v>3458364</v>
      </c>
      <c r="E32" s="497">
        <f t="shared" si="0"/>
        <v>2470989</v>
      </c>
      <c r="F32" s="498">
        <f>D32/C32</f>
        <v>3.5025841245727309</v>
      </c>
    </row>
    <row r="33" spans="1:7" s="208" customFormat="1" ht="33.75" customHeight="1">
      <c r="A33" s="500" t="s">
        <v>32</v>
      </c>
      <c r="B33" s="501" t="s">
        <v>31</v>
      </c>
      <c r="C33" s="491"/>
      <c r="D33" s="491">
        <f>D18*90%</f>
        <v>3986753.4</v>
      </c>
      <c r="E33" s="492">
        <f t="shared" si="0"/>
        <v>3986753.4</v>
      </c>
      <c r="F33" s="493"/>
    </row>
    <row r="34" spans="1:7" s="208" customFormat="1" ht="33.75" customHeight="1">
      <c r="A34" s="500" t="s">
        <v>67</v>
      </c>
      <c r="B34" s="501" t="s">
        <v>1063</v>
      </c>
      <c r="C34" s="491"/>
      <c r="D34" s="491">
        <f>198742*90%</f>
        <v>178867.80000000002</v>
      </c>
      <c r="E34" s="492">
        <f t="shared" si="0"/>
        <v>178867.80000000002</v>
      </c>
      <c r="F34" s="505"/>
    </row>
    <row r="35" spans="1:7" s="217" customFormat="1" ht="33.75" customHeight="1">
      <c r="A35" s="500" t="s">
        <v>75</v>
      </c>
      <c r="B35" s="501" t="s">
        <v>539</v>
      </c>
      <c r="C35" s="491">
        <v>68500</v>
      </c>
      <c r="D35" s="491">
        <f>D29</f>
        <v>8657.4</v>
      </c>
      <c r="E35" s="492">
        <f t="shared" si="0"/>
        <v>-59842.6</v>
      </c>
      <c r="F35" s="493"/>
      <c r="G35" s="216"/>
    </row>
    <row r="36" spans="1:7" s="208" customFormat="1" ht="33.75" customHeight="1">
      <c r="A36" s="500" t="s">
        <v>540</v>
      </c>
      <c r="B36" s="501" t="s">
        <v>541</v>
      </c>
      <c r="C36" s="491">
        <f>C37+C38</f>
        <v>0</v>
      </c>
      <c r="D36" s="491">
        <f>D37+D38</f>
        <v>0</v>
      </c>
      <c r="E36" s="492">
        <f>E37+E38</f>
        <v>0</v>
      </c>
      <c r="F36" s="493"/>
    </row>
    <row r="37" spans="1:7" s="208" customFormat="1" ht="33.75" customHeight="1">
      <c r="A37" s="502" t="s">
        <v>15</v>
      </c>
      <c r="B37" s="503" t="s">
        <v>542</v>
      </c>
      <c r="C37" s="496">
        <v>0</v>
      </c>
      <c r="D37" s="496"/>
      <c r="E37" s="496">
        <f t="shared" si="0"/>
        <v>0</v>
      </c>
      <c r="F37" s="506"/>
    </row>
    <row r="38" spans="1:7" s="217" customFormat="1" ht="33.75" customHeight="1">
      <c r="A38" s="502" t="s">
        <v>25</v>
      </c>
      <c r="B38" s="504" t="s">
        <v>543</v>
      </c>
      <c r="C38" s="496"/>
      <c r="D38" s="496"/>
      <c r="E38" s="496">
        <f t="shared" si="0"/>
        <v>0</v>
      </c>
      <c r="F38" s="506"/>
    </row>
    <row r="39" spans="1:7" s="208" customFormat="1" ht="33.75" customHeight="1">
      <c r="A39" s="500" t="s">
        <v>544</v>
      </c>
      <c r="B39" s="501" t="s">
        <v>545</v>
      </c>
      <c r="C39" s="491">
        <f>C40+C41</f>
        <v>77100</v>
      </c>
      <c r="D39" s="491">
        <f>D40+D41</f>
        <v>8657.4</v>
      </c>
      <c r="E39" s="492">
        <f t="shared" si="0"/>
        <v>-68442.600000000006</v>
      </c>
      <c r="F39" s="493"/>
    </row>
    <row r="40" spans="1:7" s="208" customFormat="1" ht="33.75" customHeight="1">
      <c r="A40" s="502" t="s">
        <v>15</v>
      </c>
      <c r="B40" s="503" t="s">
        <v>546</v>
      </c>
      <c r="C40" s="496">
        <v>68500</v>
      </c>
      <c r="D40" s="496">
        <f>D35</f>
        <v>8657.4</v>
      </c>
      <c r="E40" s="497">
        <f t="shared" si="0"/>
        <v>-59842.6</v>
      </c>
      <c r="F40" s="498"/>
    </row>
    <row r="41" spans="1:7" ht="33.75" customHeight="1">
      <c r="A41" s="502" t="s">
        <v>25</v>
      </c>
      <c r="B41" s="503" t="s">
        <v>547</v>
      </c>
      <c r="C41" s="496">
        <v>8600</v>
      </c>
      <c r="D41" s="507"/>
      <c r="E41" s="497">
        <f t="shared" si="0"/>
        <v>-8600</v>
      </c>
      <c r="F41" s="498"/>
    </row>
    <row r="42" spans="1:7" ht="9.75" customHeight="1">
      <c r="A42" s="508"/>
      <c r="B42" s="508"/>
      <c r="C42" s="509"/>
      <c r="D42" s="509"/>
      <c r="E42" s="508"/>
      <c r="F42" s="508"/>
    </row>
    <row r="43" spans="1:7" ht="17.25" customHeight="1">
      <c r="A43" s="218"/>
      <c r="B43" s="510"/>
      <c r="C43" s="208"/>
      <c r="D43" s="208"/>
      <c r="E43" s="208"/>
      <c r="F43" s="208"/>
    </row>
    <row r="44" spans="1:7" ht="39" hidden="1" customHeight="1">
      <c r="A44" s="1020" t="s">
        <v>548</v>
      </c>
      <c r="B44" s="1020"/>
      <c r="C44" s="1020"/>
      <c r="D44" s="1020"/>
      <c r="E44" s="1020"/>
      <c r="F44" s="1020"/>
    </row>
    <row r="45" spans="1:7" ht="45.75" hidden="1" customHeight="1">
      <c r="A45" s="213"/>
      <c r="B45" s="1021" t="s">
        <v>549</v>
      </c>
      <c r="C45" s="1021"/>
      <c r="D45" s="1021"/>
      <c r="E45" s="1021"/>
      <c r="F45" s="1021"/>
    </row>
    <row r="46" spans="1:7" ht="18.75">
      <c r="A46" s="208"/>
      <c r="B46" s="208"/>
      <c r="C46" s="208"/>
      <c r="D46" s="208"/>
      <c r="E46" s="208"/>
      <c r="F46" s="208"/>
    </row>
    <row r="47" spans="1:7" ht="18.75">
      <c r="A47" s="208"/>
      <c r="B47" s="208"/>
      <c r="C47" s="208"/>
      <c r="D47" s="208"/>
      <c r="E47" s="208"/>
      <c r="F47" s="208"/>
    </row>
    <row r="48" spans="1:7" ht="18.75">
      <c r="A48" s="208"/>
      <c r="B48" s="208"/>
      <c r="C48" s="208"/>
      <c r="D48" s="208"/>
      <c r="E48" s="208"/>
      <c r="F48" s="208"/>
    </row>
  </sheetData>
  <mergeCells count="13">
    <mergeCell ref="F6:F7"/>
    <mergeCell ref="A44:F44"/>
    <mergeCell ref="B45:F45"/>
    <mergeCell ref="E1:F1"/>
    <mergeCell ref="A2:F2"/>
    <mergeCell ref="A3:F3"/>
    <mergeCell ref="E4:F4"/>
    <mergeCell ref="A5:A7"/>
    <mergeCell ref="B5:B7"/>
    <mergeCell ref="C5:C7"/>
    <mergeCell ref="D5:D7"/>
    <mergeCell ref="E5:F5"/>
    <mergeCell ref="E6:E7"/>
  </mergeCells>
  <printOptions horizontalCentered="1"/>
  <pageMargins left="0.55118110236220474" right="0.43307086614173229" top="0.6692913385826772" bottom="0.39370078740157483" header="0.39370078740157483" footer="0.19685039370078741"/>
  <pageSetup paperSize="9" scale="64" fitToHeight="0" orientation="portrait" r:id="rId1"/>
  <headerFooter alignWithMargins="0">
    <oddHeader xml:space="preserve">&amp;C                                                                                                                            </oddHeader>
    <oddFooter>&amp;C&amp;".VnTime,  Italic"&amp;8
&amp;"+,Regular"&amp;14&amp;P/&amp;N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73"/>
  <sheetViews>
    <sheetView showZeros="0" zoomScale="85" zoomScaleNormal="85" workbookViewId="0">
      <pane xSplit="2" ySplit="8" topLeftCell="C9" activePane="bottomRight" state="frozen"/>
      <selection activeCell="A44" sqref="A44:XFD45"/>
      <selection pane="topRight" activeCell="A44" sqref="A44:XFD45"/>
      <selection pane="bottomLeft" activeCell="A44" sqref="A44:XFD45"/>
      <selection pane="bottomRight" activeCell="A44" sqref="A44:XFD45"/>
    </sheetView>
  </sheetViews>
  <sheetFormatPr defaultRowHeight="15.75"/>
  <cols>
    <col min="1" max="1" width="5.85546875" style="169" customWidth="1"/>
    <col min="2" max="2" width="60.140625" style="207" customWidth="1"/>
    <col min="3" max="5" width="14.85546875" style="169" customWidth="1"/>
    <col min="6" max="6" width="14.5703125" style="169" customWidth="1"/>
    <col min="7" max="8" width="12.5703125" style="169" customWidth="1"/>
    <col min="9" max="256" width="9.140625" style="169"/>
    <col min="257" max="257" width="5.85546875" style="169" customWidth="1"/>
    <col min="258" max="258" width="60.140625" style="169" customWidth="1"/>
    <col min="259" max="261" width="14.85546875" style="169" customWidth="1"/>
    <col min="262" max="262" width="14.5703125" style="169" customWidth="1"/>
    <col min="263" max="264" width="12.5703125" style="169" customWidth="1"/>
    <col min="265" max="512" width="9.140625" style="169"/>
    <col min="513" max="513" width="5.85546875" style="169" customWidth="1"/>
    <col min="514" max="514" width="60.140625" style="169" customWidth="1"/>
    <col min="515" max="517" width="14.85546875" style="169" customWidth="1"/>
    <col min="518" max="518" width="14.5703125" style="169" customWidth="1"/>
    <col min="519" max="520" width="12.5703125" style="169" customWidth="1"/>
    <col min="521" max="768" width="9.140625" style="169"/>
    <col min="769" max="769" width="5.85546875" style="169" customWidth="1"/>
    <col min="770" max="770" width="60.140625" style="169" customWidth="1"/>
    <col min="771" max="773" width="14.85546875" style="169" customWidth="1"/>
    <col min="774" max="774" width="14.5703125" style="169" customWidth="1"/>
    <col min="775" max="776" width="12.5703125" style="169" customWidth="1"/>
    <col min="777" max="1024" width="9.140625" style="169"/>
    <col min="1025" max="1025" width="5.85546875" style="169" customWidth="1"/>
    <col min="1026" max="1026" width="60.140625" style="169" customWidth="1"/>
    <col min="1027" max="1029" width="14.85546875" style="169" customWidth="1"/>
    <col min="1030" max="1030" width="14.5703125" style="169" customWidth="1"/>
    <col min="1031" max="1032" width="12.5703125" style="169" customWidth="1"/>
    <col min="1033" max="1280" width="9.140625" style="169"/>
    <col min="1281" max="1281" width="5.85546875" style="169" customWidth="1"/>
    <col min="1282" max="1282" width="60.140625" style="169" customWidth="1"/>
    <col min="1283" max="1285" width="14.85546875" style="169" customWidth="1"/>
    <col min="1286" max="1286" width="14.5703125" style="169" customWidth="1"/>
    <col min="1287" max="1288" width="12.5703125" style="169" customWidth="1"/>
    <col min="1289" max="1536" width="9.140625" style="169"/>
    <col min="1537" max="1537" width="5.85546875" style="169" customWidth="1"/>
    <col min="1538" max="1538" width="60.140625" style="169" customWidth="1"/>
    <col min="1539" max="1541" width="14.85546875" style="169" customWidth="1"/>
    <col min="1542" max="1542" width="14.5703125" style="169" customWidth="1"/>
    <col min="1543" max="1544" width="12.5703125" style="169" customWidth="1"/>
    <col min="1545" max="1792" width="9.140625" style="169"/>
    <col min="1793" max="1793" width="5.85546875" style="169" customWidth="1"/>
    <col min="1794" max="1794" width="60.140625" style="169" customWidth="1"/>
    <col min="1795" max="1797" width="14.85546875" style="169" customWidth="1"/>
    <col min="1798" max="1798" width="14.5703125" style="169" customWidth="1"/>
    <col min="1799" max="1800" width="12.5703125" style="169" customWidth="1"/>
    <col min="1801" max="2048" width="9.140625" style="169"/>
    <col min="2049" max="2049" width="5.85546875" style="169" customWidth="1"/>
    <col min="2050" max="2050" width="60.140625" style="169" customWidth="1"/>
    <col min="2051" max="2053" width="14.85546875" style="169" customWidth="1"/>
    <col min="2054" max="2054" width="14.5703125" style="169" customWidth="1"/>
    <col min="2055" max="2056" width="12.5703125" style="169" customWidth="1"/>
    <col min="2057" max="2304" width="9.140625" style="169"/>
    <col min="2305" max="2305" width="5.85546875" style="169" customWidth="1"/>
    <col min="2306" max="2306" width="60.140625" style="169" customWidth="1"/>
    <col min="2307" max="2309" width="14.85546875" style="169" customWidth="1"/>
    <col min="2310" max="2310" width="14.5703125" style="169" customWidth="1"/>
    <col min="2311" max="2312" width="12.5703125" style="169" customWidth="1"/>
    <col min="2313" max="2560" width="9.140625" style="169"/>
    <col min="2561" max="2561" width="5.85546875" style="169" customWidth="1"/>
    <col min="2562" max="2562" width="60.140625" style="169" customWidth="1"/>
    <col min="2563" max="2565" width="14.85546875" style="169" customWidth="1"/>
    <col min="2566" max="2566" width="14.5703125" style="169" customWidth="1"/>
    <col min="2567" max="2568" width="12.5703125" style="169" customWidth="1"/>
    <col min="2569" max="2816" width="9.140625" style="169"/>
    <col min="2817" max="2817" width="5.85546875" style="169" customWidth="1"/>
    <col min="2818" max="2818" width="60.140625" style="169" customWidth="1"/>
    <col min="2819" max="2821" width="14.85546875" style="169" customWidth="1"/>
    <col min="2822" max="2822" width="14.5703125" style="169" customWidth="1"/>
    <col min="2823" max="2824" width="12.5703125" style="169" customWidth="1"/>
    <col min="2825" max="3072" width="9.140625" style="169"/>
    <col min="3073" max="3073" width="5.85546875" style="169" customWidth="1"/>
    <col min="3074" max="3074" width="60.140625" style="169" customWidth="1"/>
    <col min="3075" max="3077" width="14.85546875" style="169" customWidth="1"/>
    <col min="3078" max="3078" width="14.5703125" style="169" customWidth="1"/>
    <col min="3079" max="3080" width="12.5703125" style="169" customWidth="1"/>
    <col min="3081" max="3328" width="9.140625" style="169"/>
    <col min="3329" max="3329" width="5.85546875" style="169" customWidth="1"/>
    <col min="3330" max="3330" width="60.140625" style="169" customWidth="1"/>
    <col min="3331" max="3333" width="14.85546875" style="169" customWidth="1"/>
    <col min="3334" max="3334" width="14.5703125" style="169" customWidth="1"/>
    <col min="3335" max="3336" width="12.5703125" style="169" customWidth="1"/>
    <col min="3337" max="3584" width="9.140625" style="169"/>
    <col min="3585" max="3585" width="5.85546875" style="169" customWidth="1"/>
    <col min="3586" max="3586" width="60.140625" style="169" customWidth="1"/>
    <col min="3587" max="3589" width="14.85546875" style="169" customWidth="1"/>
    <col min="3590" max="3590" width="14.5703125" style="169" customWidth="1"/>
    <col min="3591" max="3592" width="12.5703125" style="169" customWidth="1"/>
    <col min="3593" max="3840" width="9.140625" style="169"/>
    <col min="3841" max="3841" width="5.85546875" style="169" customWidth="1"/>
    <col min="3842" max="3842" width="60.140625" style="169" customWidth="1"/>
    <col min="3843" max="3845" width="14.85546875" style="169" customWidth="1"/>
    <col min="3846" max="3846" width="14.5703125" style="169" customWidth="1"/>
    <col min="3847" max="3848" width="12.5703125" style="169" customWidth="1"/>
    <col min="3849" max="4096" width="9.140625" style="169"/>
    <col min="4097" max="4097" width="5.85546875" style="169" customWidth="1"/>
    <col min="4098" max="4098" width="60.140625" style="169" customWidth="1"/>
    <col min="4099" max="4101" width="14.85546875" style="169" customWidth="1"/>
    <col min="4102" max="4102" width="14.5703125" style="169" customWidth="1"/>
    <col min="4103" max="4104" width="12.5703125" style="169" customWidth="1"/>
    <col min="4105" max="4352" width="9.140625" style="169"/>
    <col min="4353" max="4353" width="5.85546875" style="169" customWidth="1"/>
    <col min="4354" max="4354" width="60.140625" style="169" customWidth="1"/>
    <col min="4355" max="4357" width="14.85546875" style="169" customWidth="1"/>
    <col min="4358" max="4358" width="14.5703125" style="169" customWidth="1"/>
    <col min="4359" max="4360" width="12.5703125" style="169" customWidth="1"/>
    <col min="4361" max="4608" width="9.140625" style="169"/>
    <col min="4609" max="4609" width="5.85546875" style="169" customWidth="1"/>
    <col min="4610" max="4610" width="60.140625" style="169" customWidth="1"/>
    <col min="4611" max="4613" width="14.85546875" style="169" customWidth="1"/>
    <col min="4614" max="4614" width="14.5703125" style="169" customWidth="1"/>
    <col min="4615" max="4616" width="12.5703125" style="169" customWidth="1"/>
    <col min="4617" max="4864" width="9.140625" style="169"/>
    <col min="4865" max="4865" width="5.85546875" style="169" customWidth="1"/>
    <col min="4866" max="4866" width="60.140625" style="169" customWidth="1"/>
    <col min="4867" max="4869" width="14.85546875" style="169" customWidth="1"/>
    <col min="4870" max="4870" width="14.5703125" style="169" customWidth="1"/>
    <col min="4871" max="4872" width="12.5703125" style="169" customWidth="1"/>
    <col min="4873" max="5120" width="9.140625" style="169"/>
    <col min="5121" max="5121" width="5.85546875" style="169" customWidth="1"/>
    <col min="5122" max="5122" width="60.140625" style="169" customWidth="1"/>
    <col min="5123" max="5125" width="14.85546875" style="169" customWidth="1"/>
    <col min="5126" max="5126" width="14.5703125" style="169" customWidth="1"/>
    <col min="5127" max="5128" width="12.5703125" style="169" customWidth="1"/>
    <col min="5129" max="5376" width="9.140625" style="169"/>
    <col min="5377" max="5377" width="5.85546875" style="169" customWidth="1"/>
    <col min="5378" max="5378" width="60.140625" style="169" customWidth="1"/>
    <col min="5379" max="5381" width="14.85546875" style="169" customWidth="1"/>
    <col min="5382" max="5382" width="14.5703125" style="169" customWidth="1"/>
    <col min="5383" max="5384" width="12.5703125" style="169" customWidth="1"/>
    <col min="5385" max="5632" width="9.140625" style="169"/>
    <col min="5633" max="5633" width="5.85546875" style="169" customWidth="1"/>
    <col min="5634" max="5634" width="60.140625" style="169" customWidth="1"/>
    <col min="5635" max="5637" width="14.85546875" style="169" customWidth="1"/>
    <col min="5638" max="5638" width="14.5703125" style="169" customWidth="1"/>
    <col min="5639" max="5640" width="12.5703125" style="169" customWidth="1"/>
    <col min="5641" max="5888" width="9.140625" style="169"/>
    <col min="5889" max="5889" width="5.85546875" style="169" customWidth="1"/>
    <col min="5890" max="5890" width="60.140625" style="169" customWidth="1"/>
    <col min="5891" max="5893" width="14.85546875" style="169" customWidth="1"/>
    <col min="5894" max="5894" width="14.5703125" style="169" customWidth="1"/>
    <col min="5895" max="5896" width="12.5703125" style="169" customWidth="1"/>
    <col min="5897" max="6144" width="9.140625" style="169"/>
    <col min="6145" max="6145" width="5.85546875" style="169" customWidth="1"/>
    <col min="6146" max="6146" width="60.140625" style="169" customWidth="1"/>
    <col min="6147" max="6149" width="14.85546875" style="169" customWidth="1"/>
    <col min="6150" max="6150" width="14.5703125" style="169" customWidth="1"/>
    <col min="6151" max="6152" width="12.5703125" style="169" customWidth="1"/>
    <col min="6153" max="6400" width="9.140625" style="169"/>
    <col min="6401" max="6401" width="5.85546875" style="169" customWidth="1"/>
    <col min="6402" max="6402" width="60.140625" style="169" customWidth="1"/>
    <col min="6403" max="6405" width="14.85546875" style="169" customWidth="1"/>
    <col min="6406" max="6406" width="14.5703125" style="169" customWidth="1"/>
    <col min="6407" max="6408" width="12.5703125" style="169" customWidth="1"/>
    <col min="6409" max="6656" width="9.140625" style="169"/>
    <col min="6657" max="6657" width="5.85546875" style="169" customWidth="1"/>
    <col min="6658" max="6658" width="60.140625" style="169" customWidth="1"/>
    <col min="6659" max="6661" width="14.85546875" style="169" customWidth="1"/>
    <col min="6662" max="6662" width="14.5703125" style="169" customWidth="1"/>
    <col min="6663" max="6664" width="12.5703125" style="169" customWidth="1"/>
    <col min="6665" max="6912" width="9.140625" style="169"/>
    <col min="6913" max="6913" width="5.85546875" style="169" customWidth="1"/>
    <col min="6914" max="6914" width="60.140625" style="169" customWidth="1"/>
    <col min="6915" max="6917" width="14.85546875" style="169" customWidth="1"/>
    <col min="6918" max="6918" width="14.5703125" style="169" customWidth="1"/>
    <col min="6919" max="6920" width="12.5703125" style="169" customWidth="1"/>
    <col min="6921" max="7168" width="9.140625" style="169"/>
    <col min="7169" max="7169" width="5.85546875" style="169" customWidth="1"/>
    <col min="7170" max="7170" width="60.140625" style="169" customWidth="1"/>
    <col min="7171" max="7173" width="14.85546875" style="169" customWidth="1"/>
    <col min="7174" max="7174" width="14.5703125" style="169" customWidth="1"/>
    <col min="7175" max="7176" width="12.5703125" style="169" customWidth="1"/>
    <col min="7177" max="7424" width="9.140625" style="169"/>
    <col min="7425" max="7425" width="5.85546875" style="169" customWidth="1"/>
    <col min="7426" max="7426" width="60.140625" style="169" customWidth="1"/>
    <col min="7427" max="7429" width="14.85546875" style="169" customWidth="1"/>
    <col min="7430" max="7430" width="14.5703125" style="169" customWidth="1"/>
    <col min="7431" max="7432" width="12.5703125" style="169" customWidth="1"/>
    <col min="7433" max="7680" width="9.140625" style="169"/>
    <col min="7681" max="7681" width="5.85546875" style="169" customWidth="1"/>
    <col min="7682" max="7682" width="60.140625" style="169" customWidth="1"/>
    <col min="7683" max="7685" width="14.85546875" style="169" customWidth="1"/>
    <col min="7686" max="7686" width="14.5703125" style="169" customWidth="1"/>
    <col min="7687" max="7688" width="12.5703125" style="169" customWidth="1"/>
    <col min="7689" max="7936" width="9.140625" style="169"/>
    <col min="7937" max="7937" width="5.85546875" style="169" customWidth="1"/>
    <col min="7938" max="7938" width="60.140625" style="169" customWidth="1"/>
    <col min="7939" max="7941" width="14.85546875" style="169" customWidth="1"/>
    <col min="7942" max="7942" width="14.5703125" style="169" customWidth="1"/>
    <col min="7943" max="7944" width="12.5703125" style="169" customWidth="1"/>
    <col min="7945" max="8192" width="9.140625" style="169"/>
    <col min="8193" max="8193" width="5.85546875" style="169" customWidth="1"/>
    <col min="8194" max="8194" width="60.140625" style="169" customWidth="1"/>
    <col min="8195" max="8197" width="14.85546875" style="169" customWidth="1"/>
    <col min="8198" max="8198" width="14.5703125" style="169" customWidth="1"/>
    <col min="8199" max="8200" width="12.5703125" style="169" customWidth="1"/>
    <col min="8201" max="8448" width="9.140625" style="169"/>
    <col min="8449" max="8449" width="5.85546875" style="169" customWidth="1"/>
    <col min="8450" max="8450" width="60.140625" style="169" customWidth="1"/>
    <col min="8451" max="8453" width="14.85546875" style="169" customWidth="1"/>
    <col min="8454" max="8454" width="14.5703125" style="169" customWidth="1"/>
    <col min="8455" max="8456" width="12.5703125" style="169" customWidth="1"/>
    <col min="8457" max="8704" width="9.140625" style="169"/>
    <col min="8705" max="8705" width="5.85546875" style="169" customWidth="1"/>
    <col min="8706" max="8706" width="60.140625" style="169" customWidth="1"/>
    <col min="8707" max="8709" width="14.85546875" style="169" customWidth="1"/>
    <col min="8710" max="8710" width="14.5703125" style="169" customWidth="1"/>
    <col min="8711" max="8712" width="12.5703125" style="169" customWidth="1"/>
    <col min="8713" max="8960" width="9.140625" style="169"/>
    <col min="8961" max="8961" width="5.85546875" style="169" customWidth="1"/>
    <col min="8962" max="8962" width="60.140625" style="169" customWidth="1"/>
    <col min="8963" max="8965" width="14.85546875" style="169" customWidth="1"/>
    <col min="8966" max="8966" width="14.5703125" style="169" customWidth="1"/>
    <col min="8967" max="8968" width="12.5703125" style="169" customWidth="1"/>
    <col min="8969" max="9216" width="9.140625" style="169"/>
    <col min="9217" max="9217" width="5.85546875" style="169" customWidth="1"/>
    <col min="9218" max="9218" width="60.140625" style="169" customWidth="1"/>
    <col min="9219" max="9221" width="14.85546875" style="169" customWidth="1"/>
    <col min="9222" max="9222" width="14.5703125" style="169" customWidth="1"/>
    <col min="9223" max="9224" width="12.5703125" style="169" customWidth="1"/>
    <col min="9225" max="9472" width="9.140625" style="169"/>
    <col min="9473" max="9473" width="5.85546875" style="169" customWidth="1"/>
    <col min="9474" max="9474" width="60.140625" style="169" customWidth="1"/>
    <col min="9475" max="9477" width="14.85546875" style="169" customWidth="1"/>
    <col min="9478" max="9478" width="14.5703125" style="169" customWidth="1"/>
    <col min="9479" max="9480" width="12.5703125" style="169" customWidth="1"/>
    <col min="9481" max="9728" width="9.140625" style="169"/>
    <col min="9729" max="9729" width="5.85546875" style="169" customWidth="1"/>
    <col min="9730" max="9730" width="60.140625" style="169" customWidth="1"/>
    <col min="9731" max="9733" width="14.85546875" style="169" customWidth="1"/>
    <col min="9734" max="9734" width="14.5703125" style="169" customWidth="1"/>
    <col min="9735" max="9736" width="12.5703125" style="169" customWidth="1"/>
    <col min="9737" max="9984" width="9.140625" style="169"/>
    <col min="9985" max="9985" width="5.85546875" style="169" customWidth="1"/>
    <col min="9986" max="9986" width="60.140625" style="169" customWidth="1"/>
    <col min="9987" max="9989" width="14.85546875" style="169" customWidth="1"/>
    <col min="9990" max="9990" width="14.5703125" style="169" customWidth="1"/>
    <col min="9991" max="9992" width="12.5703125" style="169" customWidth="1"/>
    <col min="9993" max="10240" width="9.140625" style="169"/>
    <col min="10241" max="10241" width="5.85546875" style="169" customWidth="1"/>
    <col min="10242" max="10242" width="60.140625" style="169" customWidth="1"/>
    <col min="10243" max="10245" width="14.85546875" style="169" customWidth="1"/>
    <col min="10246" max="10246" width="14.5703125" style="169" customWidth="1"/>
    <col min="10247" max="10248" width="12.5703125" style="169" customWidth="1"/>
    <col min="10249" max="10496" width="9.140625" style="169"/>
    <col min="10497" max="10497" width="5.85546875" style="169" customWidth="1"/>
    <col min="10498" max="10498" width="60.140625" style="169" customWidth="1"/>
    <col min="10499" max="10501" width="14.85546875" style="169" customWidth="1"/>
    <col min="10502" max="10502" width="14.5703125" style="169" customWidth="1"/>
    <col min="10503" max="10504" width="12.5703125" style="169" customWidth="1"/>
    <col min="10505" max="10752" width="9.140625" style="169"/>
    <col min="10753" max="10753" width="5.85546875" style="169" customWidth="1"/>
    <col min="10754" max="10754" width="60.140625" style="169" customWidth="1"/>
    <col min="10755" max="10757" width="14.85546875" style="169" customWidth="1"/>
    <col min="10758" max="10758" width="14.5703125" style="169" customWidth="1"/>
    <col min="10759" max="10760" width="12.5703125" style="169" customWidth="1"/>
    <col min="10761" max="11008" width="9.140625" style="169"/>
    <col min="11009" max="11009" width="5.85546875" style="169" customWidth="1"/>
    <col min="11010" max="11010" width="60.140625" style="169" customWidth="1"/>
    <col min="11011" max="11013" width="14.85546875" style="169" customWidth="1"/>
    <col min="11014" max="11014" width="14.5703125" style="169" customWidth="1"/>
    <col min="11015" max="11016" width="12.5703125" style="169" customWidth="1"/>
    <col min="11017" max="11264" width="9.140625" style="169"/>
    <col min="11265" max="11265" width="5.85546875" style="169" customWidth="1"/>
    <col min="11266" max="11266" width="60.140625" style="169" customWidth="1"/>
    <col min="11267" max="11269" width="14.85546875" style="169" customWidth="1"/>
    <col min="11270" max="11270" width="14.5703125" style="169" customWidth="1"/>
    <col min="11271" max="11272" width="12.5703125" style="169" customWidth="1"/>
    <col min="11273" max="11520" width="9.140625" style="169"/>
    <col min="11521" max="11521" width="5.85546875" style="169" customWidth="1"/>
    <col min="11522" max="11522" width="60.140625" style="169" customWidth="1"/>
    <col min="11523" max="11525" width="14.85546875" style="169" customWidth="1"/>
    <col min="11526" max="11526" width="14.5703125" style="169" customWidth="1"/>
    <col min="11527" max="11528" width="12.5703125" style="169" customWidth="1"/>
    <col min="11529" max="11776" width="9.140625" style="169"/>
    <col min="11777" max="11777" width="5.85546875" style="169" customWidth="1"/>
    <col min="11778" max="11778" width="60.140625" style="169" customWidth="1"/>
    <col min="11779" max="11781" width="14.85546875" style="169" customWidth="1"/>
    <col min="11782" max="11782" width="14.5703125" style="169" customWidth="1"/>
    <col min="11783" max="11784" width="12.5703125" style="169" customWidth="1"/>
    <col min="11785" max="12032" width="9.140625" style="169"/>
    <col min="12033" max="12033" width="5.85546875" style="169" customWidth="1"/>
    <col min="12034" max="12034" width="60.140625" style="169" customWidth="1"/>
    <col min="12035" max="12037" width="14.85546875" style="169" customWidth="1"/>
    <col min="12038" max="12038" width="14.5703125" style="169" customWidth="1"/>
    <col min="12039" max="12040" width="12.5703125" style="169" customWidth="1"/>
    <col min="12041" max="12288" width="9.140625" style="169"/>
    <col min="12289" max="12289" width="5.85546875" style="169" customWidth="1"/>
    <col min="12290" max="12290" width="60.140625" style="169" customWidth="1"/>
    <col min="12291" max="12293" width="14.85546875" style="169" customWidth="1"/>
    <col min="12294" max="12294" width="14.5703125" style="169" customWidth="1"/>
    <col min="12295" max="12296" width="12.5703125" style="169" customWidth="1"/>
    <col min="12297" max="12544" width="9.140625" style="169"/>
    <col min="12545" max="12545" width="5.85546875" style="169" customWidth="1"/>
    <col min="12546" max="12546" width="60.140625" style="169" customWidth="1"/>
    <col min="12547" max="12549" width="14.85546875" style="169" customWidth="1"/>
    <col min="12550" max="12550" width="14.5703125" style="169" customWidth="1"/>
    <col min="12551" max="12552" width="12.5703125" style="169" customWidth="1"/>
    <col min="12553" max="12800" width="9.140625" style="169"/>
    <col min="12801" max="12801" width="5.85546875" style="169" customWidth="1"/>
    <col min="12802" max="12802" width="60.140625" style="169" customWidth="1"/>
    <col min="12803" max="12805" width="14.85546875" style="169" customWidth="1"/>
    <col min="12806" max="12806" width="14.5703125" style="169" customWidth="1"/>
    <col min="12807" max="12808" width="12.5703125" style="169" customWidth="1"/>
    <col min="12809" max="13056" width="9.140625" style="169"/>
    <col min="13057" max="13057" width="5.85546875" style="169" customWidth="1"/>
    <col min="13058" max="13058" width="60.140625" style="169" customWidth="1"/>
    <col min="13059" max="13061" width="14.85546875" style="169" customWidth="1"/>
    <col min="13062" max="13062" width="14.5703125" style="169" customWidth="1"/>
    <col min="13063" max="13064" width="12.5703125" style="169" customWidth="1"/>
    <col min="13065" max="13312" width="9.140625" style="169"/>
    <col min="13313" max="13313" width="5.85546875" style="169" customWidth="1"/>
    <col min="13314" max="13314" width="60.140625" style="169" customWidth="1"/>
    <col min="13315" max="13317" width="14.85546875" style="169" customWidth="1"/>
    <col min="13318" max="13318" width="14.5703125" style="169" customWidth="1"/>
    <col min="13319" max="13320" width="12.5703125" style="169" customWidth="1"/>
    <col min="13321" max="13568" width="9.140625" style="169"/>
    <col min="13569" max="13569" width="5.85546875" style="169" customWidth="1"/>
    <col min="13570" max="13570" width="60.140625" style="169" customWidth="1"/>
    <col min="13571" max="13573" width="14.85546875" style="169" customWidth="1"/>
    <col min="13574" max="13574" width="14.5703125" style="169" customWidth="1"/>
    <col min="13575" max="13576" width="12.5703125" style="169" customWidth="1"/>
    <col min="13577" max="13824" width="9.140625" style="169"/>
    <col min="13825" max="13825" width="5.85546875" style="169" customWidth="1"/>
    <col min="13826" max="13826" width="60.140625" style="169" customWidth="1"/>
    <col min="13827" max="13829" width="14.85546875" style="169" customWidth="1"/>
    <col min="13830" max="13830" width="14.5703125" style="169" customWidth="1"/>
    <col min="13831" max="13832" width="12.5703125" style="169" customWidth="1"/>
    <col min="13833" max="14080" width="9.140625" style="169"/>
    <col min="14081" max="14081" width="5.85546875" style="169" customWidth="1"/>
    <col min="14082" max="14082" width="60.140625" style="169" customWidth="1"/>
    <col min="14083" max="14085" width="14.85546875" style="169" customWidth="1"/>
    <col min="14086" max="14086" width="14.5703125" style="169" customWidth="1"/>
    <col min="14087" max="14088" width="12.5703125" style="169" customWidth="1"/>
    <col min="14089" max="14336" width="9.140625" style="169"/>
    <col min="14337" max="14337" width="5.85546875" style="169" customWidth="1"/>
    <col min="14338" max="14338" width="60.140625" style="169" customWidth="1"/>
    <col min="14339" max="14341" width="14.85546875" style="169" customWidth="1"/>
    <col min="14342" max="14342" width="14.5703125" style="169" customWidth="1"/>
    <col min="14343" max="14344" width="12.5703125" style="169" customWidth="1"/>
    <col min="14345" max="14592" width="9.140625" style="169"/>
    <col min="14593" max="14593" width="5.85546875" style="169" customWidth="1"/>
    <col min="14594" max="14594" width="60.140625" style="169" customWidth="1"/>
    <col min="14595" max="14597" width="14.85546875" style="169" customWidth="1"/>
    <col min="14598" max="14598" width="14.5703125" style="169" customWidth="1"/>
    <col min="14599" max="14600" width="12.5703125" style="169" customWidth="1"/>
    <col min="14601" max="14848" width="9.140625" style="169"/>
    <col min="14849" max="14849" width="5.85546875" style="169" customWidth="1"/>
    <col min="14850" max="14850" width="60.140625" style="169" customWidth="1"/>
    <col min="14851" max="14853" width="14.85546875" style="169" customWidth="1"/>
    <col min="14854" max="14854" width="14.5703125" style="169" customWidth="1"/>
    <col min="14855" max="14856" width="12.5703125" style="169" customWidth="1"/>
    <col min="14857" max="15104" width="9.140625" style="169"/>
    <col min="15105" max="15105" width="5.85546875" style="169" customWidth="1"/>
    <col min="15106" max="15106" width="60.140625" style="169" customWidth="1"/>
    <col min="15107" max="15109" width="14.85546875" style="169" customWidth="1"/>
    <col min="15110" max="15110" width="14.5703125" style="169" customWidth="1"/>
    <col min="15111" max="15112" width="12.5703125" style="169" customWidth="1"/>
    <col min="15113" max="15360" width="9.140625" style="169"/>
    <col min="15361" max="15361" width="5.85546875" style="169" customWidth="1"/>
    <col min="15362" max="15362" width="60.140625" style="169" customWidth="1"/>
    <col min="15363" max="15365" width="14.85546875" style="169" customWidth="1"/>
    <col min="15366" max="15366" width="14.5703125" style="169" customWidth="1"/>
    <col min="15367" max="15368" width="12.5703125" style="169" customWidth="1"/>
    <col min="15369" max="15616" width="9.140625" style="169"/>
    <col min="15617" max="15617" width="5.85546875" style="169" customWidth="1"/>
    <col min="15618" max="15618" width="60.140625" style="169" customWidth="1"/>
    <col min="15619" max="15621" width="14.85546875" style="169" customWidth="1"/>
    <col min="15622" max="15622" width="14.5703125" style="169" customWidth="1"/>
    <col min="15623" max="15624" width="12.5703125" style="169" customWidth="1"/>
    <col min="15625" max="15872" width="9.140625" style="169"/>
    <col min="15873" max="15873" width="5.85546875" style="169" customWidth="1"/>
    <col min="15874" max="15874" width="60.140625" style="169" customWidth="1"/>
    <col min="15875" max="15877" width="14.85546875" style="169" customWidth="1"/>
    <col min="15878" max="15878" width="14.5703125" style="169" customWidth="1"/>
    <col min="15879" max="15880" width="12.5703125" style="169" customWidth="1"/>
    <col min="15881" max="16128" width="9.140625" style="169"/>
    <col min="16129" max="16129" width="5.85546875" style="169" customWidth="1"/>
    <col min="16130" max="16130" width="60.140625" style="169" customWidth="1"/>
    <col min="16131" max="16133" width="14.85546875" style="169" customWidth="1"/>
    <col min="16134" max="16134" width="14.5703125" style="169" customWidth="1"/>
    <col min="16135" max="16136" width="12.5703125" style="169" customWidth="1"/>
    <col min="16137" max="16384" width="9.140625" style="169"/>
  </cols>
  <sheetData>
    <row r="1" spans="1:8" ht="18.75">
      <c r="A1" s="166"/>
      <c r="B1" s="167"/>
      <c r="C1" s="168"/>
      <c r="D1" s="168"/>
      <c r="E1" s="168"/>
      <c r="F1" s="168"/>
      <c r="G1" s="1022" t="s">
        <v>458</v>
      </c>
      <c r="H1" s="1022"/>
    </row>
    <row r="2" spans="1:8" ht="18.75">
      <c r="A2" s="1033" t="s">
        <v>459</v>
      </c>
      <c r="B2" s="1033"/>
      <c r="C2" s="1033"/>
      <c r="D2" s="1033"/>
      <c r="E2" s="1033"/>
      <c r="F2" s="1033"/>
      <c r="G2" s="1033"/>
      <c r="H2" s="1033"/>
    </row>
    <row r="3" spans="1:8" ht="18.75">
      <c r="A3" s="1034" t="s">
        <v>460</v>
      </c>
      <c r="B3" s="1034"/>
      <c r="C3" s="1034"/>
      <c r="D3" s="1034"/>
      <c r="E3" s="1034"/>
      <c r="F3" s="1034"/>
      <c r="G3" s="1034"/>
      <c r="H3" s="1034"/>
    </row>
    <row r="4" spans="1:8" ht="36" customHeight="1">
      <c r="A4" s="170"/>
      <c r="B4" s="511"/>
      <c r="C4" s="171"/>
      <c r="D4" s="171"/>
      <c r="E4" s="171"/>
      <c r="F4" s="171"/>
      <c r="G4" s="172"/>
      <c r="H4" s="173" t="s">
        <v>2</v>
      </c>
    </row>
    <row r="5" spans="1:8" s="174" customFormat="1" ht="18.75">
      <c r="A5" s="1035" t="s">
        <v>3</v>
      </c>
      <c r="B5" s="1036" t="s">
        <v>4</v>
      </c>
      <c r="C5" s="1037" t="s">
        <v>5</v>
      </c>
      <c r="D5" s="1038"/>
      <c r="E5" s="1037" t="s">
        <v>6</v>
      </c>
      <c r="F5" s="1038"/>
      <c r="G5" s="1035" t="s">
        <v>461</v>
      </c>
      <c r="H5" s="1035"/>
    </row>
    <row r="6" spans="1:8" s="174" customFormat="1" ht="16.5">
      <c r="A6" s="1035"/>
      <c r="B6" s="1036"/>
      <c r="C6" s="1036" t="s">
        <v>462</v>
      </c>
      <c r="D6" s="1036" t="s">
        <v>463</v>
      </c>
      <c r="E6" s="1036" t="s">
        <v>462</v>
      </c>
      <c r="F6" s="1036" t="s">
        <v>463</v>
      </c>
      <c r="G6" s="1036" t="s">
        <v>462</v>
      </c>
      <c r="H6" s="1036" t="s">
        <v>463</v>
      </c>
    </row>
    <row r="7" spans="1:8" s="174" customFormat="1" ht="38.25" customHeight="1">
      <c r="A7" s="1035"/>
      <c r="B7" s="1036"/>
      <c r="C7" s="1036"/>
      <c r="D7" s="1036"/>
      <c r="E7" s="1036"/>
      <c r="F7" s="1036"/>
      <c r="G7" s="1036"/>
      <c r="H7" s="1036"/>
    </row>
    <row r="8" spans="1:8" s="177" customFormat="1" ht="14.25">
      <c r="A8" s="175" t="s">
        <v>10</v>
      </c>
      <c r="B8" s="176" t="s">
        <v>11</v>
      </c>
      <c r="C8" s="175">
        <v>1</v>
      </c>
      <c r="D8" s="175">
        <f>C8+1</f>
        <v>2</v>
      </c>
      <c r="E8" s="175">
        <f>D8+1</f>
        <v>3</v>
      </c>
      <c r="F8" s="175">
        <f>E8+1</f>
        <v>4</v>
      </c>
      <c r="G8" s="175" t="s">
        <v>464</v>
      </c>
      <c r="H8" s="175" t="s">
        <v>465</v>
      </c>
    </row>
    <row r="9" spans="1:8" s="182" customFormat="1" ht="23.25" customHeight="1">
      <c r="A9" s="178" t="s">
        <v>10</v>
      </c>
      <c r="B9" s="179" t="s">
        <v>466</v>
      </c>
      <c r="C9" s="180">
        <f>C10+C58+C64</f>
        <v>4600000</v>
      </c>
      <c r="D9" s="180">
        <f>D10+D58+D64</f>
        <v>4130600</v>
      </c>
      <c r="E9" s="180">
        <f>E10+E58+E64</f>
        <v>4425000</v>
      </c>
      <c r="F9" s="180">
        <f>F10+F58+F64</f>
        <v>3931000</v>
      </c>
      <c r="G9" s="181">
        <f>IFERROR(E9/C9,"")</f>
        <v>0.96195652173913049</v>
      </c>
      <c r="H9" s="181">
        <f>IFERROR(F9/D9,"")</f>
        <v>0.95167772236478965</v>
      </c>
    </row>
    <row r="10" spans="1:8" s="182" customFormat="1" ht="23.25" customHeight="1">
      <c r="A10" s="183" t="s">
        <v>15</v>
      </c>
      <c r="B10" s="184" t="s">
        <v>467</v>
      </c>
      <c r="C10" s="185">
        <f>C11+C17+C23+C26+C33+C34+C37+C38+C46+C47+C48+C49+C50+C51+C52+C53+C54+C55+C56+C57</f>
        <v>4305000</v>
      </c>
      <c r="D10" s="185">
        <f>D11+D17+D23+D26+D33+D34+D37+D38+D46+D47+D48+D49+D50+D51+D52+D53+D54+D55+D56+D57</f>
        <v>4130600</v>
      </c>
      <c r="E10" s="185">
        <f>E11+E17+E23+E26+E33+E34+E37+E38+E46+E47+E48+E49+E50+E51+E52+E53+E54+E55+E56+E57</f>
        <v>4109000</v>
      </c>
      <c r="F10" s="185">
        <f>F11+F17+F23+F26+F33+F34+F37+F38+F46+F47+F48+F49+F50+F51+F52+F53+F54+F55+F56+F57</f>
        <v>3931000</v>
      </c>
      <c r="G10" s="186">
        <f t="shared" ref="G10:H64" si="0">IFERROR(E10/C10,"")</f>
        <v>0.95447154471544715</v>
      </c>
      <c r="H10" s="186">
        <f t="shared" si="0"/>
        <v>0.95167772236478965</v>
      </c>
    </row>
    <row r="11" spans="1:8" s="182" customFormat="1" ht="23.25" customHeight="1">
      <c r="A11" s="183">
        <v>1</v>
      </c>
      <c r="B11" s="184" t="s">
        <v>468</v>
      </c>
      <c r="C11" s="185">
        <f>C12+C13+C14</f>
        <v>788000</v>
      </c>
      <c r="D11" s="185">
        <f>C11</f>
        <v>788000</v>
      </c>
      <c r="E11" s="185">
        <f>E12+E13+E14</f>
        <v>788670</v>
      </c>
      <c r="F11" s="185">
        <f>E11</f>
        <v>788670</v>
      </c>
      <c r="G11" s="186">
        <f t="shared" si="0"/>
        <v>1.0008502538071067</v>
      </c>
      <c r="H11" s="186">
        <f t="shared" si="0"/>
        <v>1.0008502538071067</v>
      </c>
    </row>
    <row r="12" spans="1:8" s="171" customFormat="1" ht="23.25" customHeight="1">
      <c r="A12" s="187" t="s">
        <v>108</v>
      </c>
      <c r="B12" s="188" t="s">
        <v>469</v>
      </c>
      <c r="C12" s="189">
        <v>343000</v>
      </c>
      <c r="D12" s="189">
        <f t="shared" ref="D12:D55" si="1">C12</f>
        <v>343000</v>
      </c>
      <c r="E12" s="189">
        <v>317689</v>
      </c>
      <c r="F12" s="189">
        <f t="shared" ref="F12:F33" si="2">E12</f>
        <v>317689</v>
      </c>
      <c r="G12" s="190">
        <f t="shared" si="0"/>
        <v>0.92620699708454812</v>
      </c>
      <c r="H12" s="190">
        <f t="shared" si="0"/>
        <v>0.92620699708454812</v>
      </c>
    </row>
    <row r="13" spans="1:8" s="171" customFormat="1" ht="23.25" customHeight="1">
      <c r="A13" s="187" t="s">
        <v>110</v>
      </c>
      <c r="B13" s="188" t="s">
        <v>470</v>
      </c>
      <c r="C13" s="189">
        <v>20000</v>
      </c>
      <c r="D13" s="189">
        <f t="shared" si="1"/>
        <v>20000</v>
      </c>
      <c r="E13" s="189">
        <v>27331</v>
      </c>
      <c r="F13" s="189">
        <f t="shared" si="2"/>
        <v>27331</v>
      </c>
      <c r="G13" s="190">
        <f t="shared" si="0"/>
        <v>1.3665499999999999</v>
      </c>
      <c r="H13" s="190">
        <f t="shared" si="0"/>
        <v>1.3665499999999999</v>
      </c>
    </row>
    <row r="14" spans="1:8" s="171" customFormat="1" ht="23.25" customHeight="1">
      <c r="A14" s="187" t="s">
        <v>111</v>
      </c>
      <c r="B14" s="188" t="s">
        <v>471</v>
      </c>
      <c r="C14" s="189">
        <v>425000</v>
      </c>
      <c r="D14" s="189">
        <f t="shared" si="1"/>
        <v>425000</v>
      </c>
      <c r="E14" s="189">
        <v>443650</v>
      </c>
      <c r="F14" s="189">
        <f t="shared" si="2"/>
        <v>443650</v>
      </c>
      <c r="G14" s="190">
        <f t="shared" si="0"/>
        <v>1.0438823529411765</v>
      </c>
      <c r="H14" s="190">
        <f t="shared" si="0"/>
        <v>1.0438823529411765</v>
      </c>
    </row>
    <row r="15" spans="1:8" s="171" customFormat="1" ht="23.25" customHeight="1">
      <c r="A15" s="187" t="s">
        <v>432</v>
      </c>
      <c r="B15" s="188" t="s">
        <v>472</v>
      </c>
      <c r="C15" s="189">
        <v>424500</v>
      </c>
      <c r="D15" s="189">
        <f t="shared" si="1"/>
        <v>424500</v>
      </c>
      <c r="E15" s="189">
        <v>441000</v>
      </c>
      <c r="F15" s="189">
        <f t="shared" si="2"/>
        <v>441000</v>
      </c>
      <c r="G15" s="190">
        <f t="shared" si="0"/>
        <v>1.0388692579505301</v>
      </c>
      <c r="H15" s="190">
        <f t="shared" si="0"/>
        <v>1.0388692579505301</v>
      </c>
    </row>
    <row r="16" spans="1:8" s="171" customFormat="1" ht="23.25" customHeight="1">
      <c r="A16" s="187" t="s">
        <v>432</v>
      </c>
      <c r="B16" s="188" t="s">
        <v>473</v>
      </c>
      <c r="C16" s="189">
        <v>500</v>
      </c>
      <c r="D16" s="189">
        <f t="shared" si="1"/>
        <v>500</v>
      </c>
      <c r="E16" s="189">
        <f>E14-E15</f>
        <v>2650</v>
      </c>
      <c r="F16" s="189">
        <f>F14-F15</f>
        <v>2650</v>
      </c>
      <c r="G16" s="190">
        <f t="shared" si="0"/>
        <v>5.3</v>
      </c>
      <c r="H16" s="190">
        <f t="shared" si="0"/>
        <v>5.3</v>
      </c>
    </row>
    <row r="17" spans="1:8" s="182" customFormat="1" ht="23.25" customHeight="1">
      <c r="A17" s="183">
        <v>2</v>
      </c>
      <c r="B17" s="184" t="s">
        <v>474</v>
      </c>
      <c r="C17" s="185">
        <f>C18+C19+C20</f>
        <v>50000</v>
      </c>
      <c r="D17" s="185">
        <f t="shared" si="1"/>
        <v>50000</v>
      </c>
      <c r="E17" s="185">
        <f>E18+E19+E20</f>
        <v>50230</v>
      </c>
      <c r="F17" s="185">
        <f t="shared" si="2"/>
        <v>50230</v>
      </c>
      <c r="G17" s="186">
        <f t="shared" si="0"/>
        <v>1.0045999999999999</v>
      </c>
      <c r="H17" s="186">
        <f t="shared" si="0"/>
        <v>1.0045999999999999</v>
      </c>
    </row>
    <row r="18" spans="1:8" s="171" customFormat="1" ht="23.25" customHeight="1">
      <c r="A18" s="187" t="s">
        <v>143</v>
      </c>
      <c r="B18" s="188" t="s">
        <v>469</v>
      </c>
      <c r="C18" s="189">
        <v>30000</v>
      </c>
      <c r="D18" s="189">
        <f t="shared" si="1"/>
        <v>30000</v>
      </c>
      <c r="E18" s="189">
        <v>25620</v>
      </c>
      <c r="F18" s="189">
        <f t="shared" si="2"/>
        <v>25620</v>
      </c>
      <c r="G18" s="190">
        <f t="shared" si="0"/>
        <v>0.85399999999999998</v>
      </c>
      <c r="H18" s="190">
        <f t="shared" si="0"/>
        <v>0.85399999999999998</v>
      </c>
    </row>
    <row r="19" spans="1:8" s="171" customFormat="1" ht="23.25" customHeight="1">
      <c r="A19" s="187" t="s">
        <v>145</v>
      </c>
      <c r="B19" s="188" t="s">
        <v>470</v>
      </c>
      <c r="C19" s="189">
        <v>19500</v>
      </c>
      <c r="D19" s="189">
        <f t="shared" si="1"/>
        <v>19500</v>
      </c>
      <c r="E19" s="189">
        <v>24250</v>
      </c>
      <c r="F19" s="189">
        <f t="shared" si="2"/>
        <v>24250</v>
      </c>
      <c r="G19" s="190">
        <f t="shared" si="0"/>
        <v>1.2435897435897436</v>
      </c>
      <c r="H19" s="190">
        <f t="shared" si="0"/>
        <v>1.2435897435897436</v>
      </c>
    </row>
    <row r="20" spans="1:8" s="171" customFormat="1" ht="23.25" customHeight="1">
      <c r="A20" s="187" t="s">
        <v>147</v>
      </c>
      <c r="B20" s="188" t="s">
        <v>471</v>
      </c>
      <c r="C20" s="189">
        <v>500</v>
      </c>
      <c r="D20" s="189">
        <f t="shared" si="1"/>
        <v>500</v>
      </c>
      <c r="E20" s="189">
        <v>360</v>
      </c>
      <c r="F20" s="189">
        <f t="shared" si="2"/>
        <v>360</v>
      </c>
      <c r="G20" s="190">
        <f t="shared" si="0"/>
        <v>0.72</v>
      </c>
      <c r="H20" s="190">
        <f t="shared" si="0"/>
        <v>0.72</v>
      </c>
    </row>
    <row r="21" spans="1:8" s="172" customFormat="1" ht="23.25" customHeight="1">
      <c r="A21" s="187" t="s">
        <v>19</v>
      </c>
      <c r="B21" s="188" t="s">
        <v>475</v>
      </c>
      <c r="C21" s="189">
        <v>160</v>
      </c>
      <c r="D21" s="189">
        <f t="shared" si="1"/>
        <v>160</v>
      </c>
      <c r="E21" s="189">
        <v>110</v>
      </c>
      <c r="F21" s="189">
        <f t="shared" si="2"/>
        <v>110</v>
      </c>
      <c r="G21" s="191">
        <f t="shared" si="0"/>
        <v>0.6875</v>
      </c>
      <c r="H21" s="191">
        <f t="shared" si="0"/>
        <v>0.6875</v>
      </c>
    </row>
    <row r="22" spans="1:8" s="172" customFormat="1" ht="23.25" customHeight="1">
      <c r="A22" s="187" t="s">
        <v>19</v>
      </c>
      <c r="B22" s="188" t="s">
        <v>473</v>
      </c>
      <c r="C22" s="189">
        <v>340</v>
      </c>
      <c r="D22" s="189">
        <f t="shared" si="1"/>
        <v>340</v>
      </c>
      <c r="E22" s="189">
        <f>E20-E21</f>
        <v>250</v>
      </c>
      <c r="F22" s="189">
        <f t="shared" si="2"/>
        <v>250</v>
      </c>
      <c r="G22" s="191">
        <f t="shared" si="0"/>
        <v>0.73529411764705888</v>
      </c>
      <c r="H22" s="191">
        <f t="shared" si="0"/>
        <v>0.73529411764705888</v>
      </c>
    </row>
    <row r="23" spans="1:8" s="182" customFormat="1" ht="23.25" customHeight="1">
      <c r="A23" s="183">
        <v>3</v>
      </c>
      <c r="B23" s="184" t="s">
        <v>476</v>
      </c>
      <c r="C23" s="185">
        <f>C24+C25</f>
        <v>1000</v>
      </c>
      <c r="D23" s="185">
        <f t="shared" si="1"/>
        <v>1000</v>
      </c>
      <c r="E23" s="185">
        <f>E24+E25</f>
        <v>6000</v>
      </c>
      <c r="F23" s="185">
        <f t="shared" si="2"/>
        <v>6000</v>
      </c>
      <c r="G23" s="186">
        <f t="shared" si="0"/>
        <v>6</v>
      </c>
      <c r="H23" s="186">
        <f t="shared" si="0"/>
        <v>6</v>
      </c>
    </row>
    <row r="24" spans="1:8" s="171" customFormat="1" ht="23.25" customHeight="1">
      <c r="A24" s="187" t="s">
        <v>196</v>
      </c>
      <c r="B24" s="188" t="s">
        <v>469</v>
      </c>
      <c r="C24" s="189">
        <v>500</v>
      </c>
      <c r="D24" s="189">
        <f t="shared" si="1"/>
        <v>500</v>
      </c>
      <c r="E24" s="189">
        <v>1000</v>
      </c>
      <c r="F24" s="189">
        <f t="shared" si="2"/>
        <v>1000</v>
      </c>
      <c r="G24" s="190">
        <f t="shared" si="0"/>
        <v>2</v>
      </c>
      <c r="H24" s="190">
        <f t="shared" si="0"/>
        <v>2</v>
      </c>
    </row>
    <row r="25" spans="1:8" s="171" customFormat="1" ht="23.25" customHeight="1">
      <c r="A25" s="187" t="s">
        <v>198</v>
      </c>
      <c r="B25" s="188" t="s">
        <v>470</v>
      </c>
      <c r="C25" s="189">
        <v>500</v>
      </c>
      <c r="D25" s="189">
        <f t="shared" si="1"/>
        <v>500</v>
      </c>
      <c r="E25" s="189">
        <v>5000</v>
      </c>
      <c r="F25" s="189">
        <f t="shared" si="2"/>
        <v>5000</v>
      </c>
      <c r="G25" s="190">
        <f t="shared" si="0"/>
        <v>10</v>
      </c>
      <c r="H25" s="190">
        <f t="shared" si="0"/>
        <v>10</v>
      </c>
    </row>
    <row r="26" spans="1:8" s="182" customFormat="1" ht="23.25" customHeight="1">
      <c r="A26" s="183">
        <v>4</v>
      </c>
      <c r="B26" s="184" t="s">
        <v>477</v>
      </c>
      <c r="C26" s="185">
        <f>C27+C28+C29+C30</f>
        <v>1000000</v>
      </c>
      <c r="D26" s="185">
        <f>C26</f>
        <v>1000000</v>
      </c>
      <c r="E26" s="185">
        <f>E27+E28+E29+E30</f>
        <v>1100000</v>
      </c>
      <c r="F26" s="185">
        <f t="shared" si="2"/>
        <v>1100000</v>
      </c>
      <c r="G26" s="186">
        <f t="shared" si="0"/>
        <v>1.1000000000000001</v>
      </c>
      <c r="H26" s="186">
        <f t="shared" si="0"/>
        <v>1.1000000000000001</v>
      </c>
    </row>
    <row r="27" spans="1:8" s="171" customFormat="1" ht="23.25" customHeight="1">
      <c r="A27" s="187" t="s">
        <v>478</v>
      </c>
      <c r="B27" s="188" t="s">
        <v>469</v>
      </c>
      <c r="C27" s="189">
        <v>674000</v>
      </c>
      <c r="D27" s="189">
        <f t="shared" si="1"/>
        <v>674000</v>
      </c>
      <c r="E27" s="189">
        <v>767250</v>
      </c>
      <c r="F27" s="189">
        <f t="shared" si="2"/>
        <v>767250</v>
      </c>
      <c r="G27" s="190">
        <f t="shared" si="0"/>
        <v>1.138353115727003</v>
      </c>
      <c r="H27" s="190">
        <f t="shared" si="0"/>
        <v>1.138353115727003</v>
      </c>
    </row>
    <row r="28" spans="1:8" s="171" customFormat="1" ht="23.25" customHeight="1">
      <c r="A28" s="187" t="s">
        <v>479</v>
      </c>
      <c r="B28" s="188" t="s">
        <v>470</v>
      </c>
      <c r="C28" s="189">
        <v>46000</v>
      </c>
      <c r="D28" s="189">
        <f t="shared" si="1"/>
        <v>46000</v>
      </c>
      <c r="E28" s="189">
        <v>46240</v>
      </c>
      <c r="F28" s="189">
        <f t="shared" si="2"/>
        <v>46240</v>
      </c>
      <c r="G28" s="190">
        <f t="shared" si="0"/>
        <v>1.0052173913043478</v>
      </c>
      <c r="H28" s="190">
        <f t="shared" si="0"/>
        <v>1.0052173913043478</v>
      </c>
    </row>
    <row r="29" spans="1:8" s="171" customFormat="1" ht="23.25" customHeight="1">
      <c r="A29" s="187" t="s">
        <v>480</v>
      </c>
      <c r="B29" s="188" t="s">
        <v>481</v>
      </c>
      <c r="C29" s="189">
        <v>3000</v>
      </c>
      <c r="D29" s="189">
        <f t="shared" si="1"/>
        <v>3000</v>
      </c>
      <c r="E29" s="189">
        <v>5050</v>
      </c>
      <c r="F29" s="189">
        <f t="shared" si="2"/>
        <v>5050</v>
      </c>
      <c r="G29" s="190">
        <f t="shared" si="0"/>
        <v>1.6833333333333333</v>
      </c>
      <c r="H29" s="190">
        <f t="shared" si="0"/>
        <v>1.6833333333333333</v>
      </c>
    </row>
    <row r="30" spans="1:8" s="171" customFormat="1" ht="23.25" customHeight="1">
      <c r="A30" s="187" t="s">
        <v>482</v>
      </c>
      <c r="B30" s="188" t="s">
        <v>471</v>
      </c>
      <c r="C30" s="189">
        <v>277000</v>
      </c>
      <c r="D30" s="189">
        <f t="shared" si="1"/>
        <v>277000</v>
      </c>
      <c r="E30" s="189">
        <v>281460</v>
      </c>
      <c r="F30" s="189">
        <f t="shared" si="2"/>
        <v>281460</v>
      </c>
      <c r="G30" s="190">
        <f t="shared" si="0"/>
        <v>1.016101083032491</v>
      </c>
      <c r="H30" s="190">
        <f t="shared" si="0"/>
        <v>1.016101083032491</v>
      </c>
    </row>
    <row r="31" spans="1:8" s="171" customFormat="1" ht="23.25" customHeight="1">
      <c r="A31" s="187" t="s">
        <v>19</v>
      </c>
      <c r="B31" s="188" t="s">
        <v>472</v>
      </c>
      <c r="C31" s="189">
        <v>248160</v>
      </c>
      <c r="D31" s="189">
        <f t="shared" si="1"/>
        <v>248160</v>
      </c>
      <c r="E31" s="189">
        <v>259000</v>
      </c>
      <c r="F31" s="189">
        <f t="shared" si="2"/>
        <v>259000</v>
      </c>
      <c r="G31" s="190">
        <f t="shared" si="0"/>
        <v>1.0436814958091554</v>
      </c>
      <c r="H31" s="190">
        <f t="shared" si="0"/>
        <v>1.0436814958091554</v>
      </c>
    </row>
    <row r="32" spans="1:8" s="171" customFormat="1" ht="23.25" customHeight="1">
      <c r="A32" s="187" t="s">
        <v>19</v>
      </c>
      <c r="B32" s="188" t="s">
        <v>473</v>
      </c>
      <c r="C32" s="189">
        <v>28840</v>
      </c>
      <c r="D32" s="189">
        <f t="shared" si="1"/>
        <v>28840</v>
      </c>
      <c r="E32" s="189">
        <f>E30-E31</f>
        <v>22460</v>
      </c>
      <c r="F32" s="189">
        <f t="shared" si="2"/>
        <v>22460</v>
      </c>
      <c r="G32" s="190">
        <f t="shared" si="0"/>
        <v>0.77877947295423022</v>
      </c>
      <c r="H32" s="190">
        <f t="shared" si="0"/>
        <v>0.77877947295423022</v>
      </c>
    </row>
    <row r="33" spans="1:8" s="182" customFormat="1" ht="23.25" customHeight="1">
      <c r="A33" s="183">
        <v>5</v>
      </c>
      <c r="B33" s="184" t="s">
        <v>483</v>
      </c>
      <c r="C33" s="185">
        <v>115000</v>
      </c>
      <c r="D33" s="185">
        <f t="shared" si="1"/>
        <v>115000</v>
      </c>
      <c r="E33" s="185">
        <v>115200</v>
      </c>
      <c r="F33" s="185">
        <f t="shared" si="2"/>
        <v>115200</v>
      </c>
      <c r="G33" s="186">
        <f t="shared" si="0"/>
        <v>1.0017391304347827</v>
      </c>
      <c r="H33" s="186">
        <f t="shared" si="0"/>
        <v>1.0017391304347827</v>
      </c>
    </row>
    <row r="34" spans="1:8" s="182" customFormat="1" ht="23.25" customHeight="1">
      <c r="A34" s="183">
        <v>6</v>
      </c>
      <c r="B34" s="184" t="s">
        <v>484</v>
      </c>
      <c r="C34" s="185">
        <f>C35+C36</f>
        <v>166000</v>
      </c>
      <c r="D34" s="185">
        <f>C34-C35</f>
        <v>99600</v>
      </c>
      <c r="E34" s="185">
        <f>E35+E36</f>
        <v>152000</v>
      </c>
      <c r="F34" s="185">
        <f>E34-E35</f>
        <v>87717</v>
      </c>
      <c r="G34" s="186">
        <f t="shared" si="0"/>
        <v>0.91566265060240959</v>
      </c>
      <c r="H34" s="186">
        <f t="shared" si="0"/>
        <v>0.8806927710843373</v>
      </c>
    </row>
    <row r="35" spans="1:8" s="172" customFormat="1" ht="23.25" customHeight="1">
      <c r="A35" s="192" t="s">
        <v>19</v>
      </c>
      <c r="B35" s="193" t="s">
        <v>485</v>
      </c>
      <c r="C35" s="194">
        <v>66400</v>
      </c>
      <c r="D35" s="194"/>
      <c r="E35" s="194">
        <v>64283</v>
      </c>
      <c r="F35" s="194"/>
      <c r="G35" s="191">
        <f t="shared" si="0"/>
        <v>0.96811746987951808</v>
      </c>
      <c r="H35" s="191" t="str">
        <f t="shared" si="0"/>
        <v/>
      </c>
    </row>
    <row r="36" spans="1:8" s="172" customFormat="1" ht="23.25" customHeight="1">
      <c r="A36" s="192" t="s">
        <v>19</v>
      </c>
      <c r="B36" s="193" t="s">
        <v>486</v>
      </c>
      <c r="C36" s="194">
        <v>99600</v>
      </c>
      <c r="D36" s="194">
        <f t="shared" si="1"/>
        <v>99600</v>
      </c>
      <c r="E36" s="194">
        <v>87717</v>
      </c>
      <c r="F36" s="194">
        <f>E36</f>
        <v>87717</v>
      </c>
      <c r="G36" s="191">
        <f t="shared" si="0"/>
        <v>0.8806927710843373</v>
      </c>
      <c r="H36" s="191">
        <f t="shared" si="0"/>
        <v>0.8806927710843373</v>
      </c>
    </row>
    <row r="37" spans="1:8" s="182" customFormat="1" ht="23.25" customHeight="1">
      <c r="A37" s="183">
        <v>7</v>
      </c>
      <c r="B37" s="184" t="s">
        <v>487</v>
      </c>
      <c r="C37" s="185">
        <v>100000</v>
      </c>
      <c r="D37" s="185">
        <f t="shared" si="1"/>
        <v>100000</v>
      </c>
      <c r="E37" s="185">
        <v>85600</v>
      </c>
      <c r="F37" s="185">
        <f>E37</f>
        <v>85600</v>
      </c>
      <c r="G37" s="186">
        <f t="shared" si="0"/>
        <v>0.85599999999999998</v>
      </c>
      <c r="H37" s="186">
        <f t="shared" si="0"/>
        <v>0.85599999999999998</v>
      </c>
    </row>
    <row r="38" spans="1:8" s="182" customFormat="1" ht="23.25" customHeight="1">
      <c r="A38" s="183">
        <v>8</v>
      </c>
      <c r="B38" s="184" t="s">
        <v>488</v>
      </c>
      <c r="C38" s="185">
        <f>C39+C40</f>
        <v>58000</v>
      </c>
      <c r="D38" s="185">
        <f>D39+D40</f>
        <v>48000</v>
      </c>
      <c r="E38" s="185">
        <f>E39+E40</f>
        <v>67100</v>
      </c>
      <c r="F38" s="185">
        <f>F39+F40</f>
        <v>54138</v>
      </c>
      <c r="G38" s="186">
        <f t="shared" si="0"/>
        <v>1.1568965517241379</v>
      </c>
      <c r="H38" s="186">
        <f t="shared" si="0"/>
        <v>1.127875</v>
      </c>
    </row>
    <row r="39" spans="1:8" s="172" customFormat="1" ht="23.25" customHeight="1">
      <c r="A39" s="192" t="s">
        <v>489</v>
      </c>
      <c r="B39" s="193" t="s">
        <v>490</v>
      </c>
      <c r="C39" s="194">
        <v>10000</v>
      </c>
      <c r="D39" s="194"/>
      <c r="E39" s="194">
        <v>12962</v>
      </c>
      <c r="F39" s="194"/>
      <c r="G39" s="191">
        <f t="shared" si="0"/>
        <v>1.2962</v>
      </c>
      <c r="H39" s="191" t="str">
        <f t="shared" si="0"/>
        <v/>
      </c>
    </row>
    <row r="40" spans="1:8" s="172" customFormat="1" ht="23.25" customHeight="1">
      <c r="A40" s="192" t="s">
        <v>491</v>
      </c>
      <c r="B40" s="193" t="s">
        <v>492</v>
      </c>
      <c r="C40" s="194">
        <v>48000</v>
      </c>
      <c r="D40" s="194">
        <f t="shared" si="1"/>
        <v>48000</v>
      </c>
      <c r="E40" s="194">
        <v>54138</v>
      </c>
      <c r="F40" s="194">
        <f t="shared" ref="F40:F51" si="3">E40</f>
        <v>54138</v>
      </c>
      <c r="G40" s="191">
        <f t="shared" si="0"/>
        <v>1.127875</v>
      </c>
      <c r="H40" s="191">
        <f t="shared" si="0"/>
        <v>1.127875</v>
      </c>
    </row>
    <row r="41" spans="1:8" s="172" customFormat="1" ht="23.25" customHeight="1">
      <c r="A41" s="192" t="s">
        <v>19</v>
      </c>
      <c r="B41" s="193" t="s">
        <v>493</v>
      </c>
      <c r="C41" s="194">
        <v>8000</v>
      </c>
      <c r="D41" s="194">
        <f t="shared" si="1"/>
        <v>8000</v>
      </c>
      <c r="E41" s="194">
        <v>11570</v>
      </c>
      <c r="F41" s="194">
        <f t="shared" si="3"/>
        <v>11570</v>
      </c>
      <c r="G41" s="191">
        <f t="shared" si="0"/>
        <v>1.44625</v>
      </c>
      <c r="H41" s="191">
        <f t="shared" si="0"/>
        <v>1.44625</v>
      </c>
    </row>
    <row r="42" spans="1:8" s="172" customFormat="1" ht="23.25" customHeight="1">
      <c r="A42" s="192" t="s">
        <v>19</v>
      </c>
      <c r="B42" s="193" t="s">
        <v>494</v>
      </c>
      <c r="C42" s="194">
        <v>8129</v>
      </c>
      <c r="D42" s="194">
        <f t="shared" si="1"/>
        <v>8129</v>
      </c>
      <c r="E42" s="194">
        <v>8933</v>
      </c>
      <c r="F42" s="194">
        <f t="shared" si="3"/>
        <v>8933</v>
      </c>
      <c r="G42" s="191">
        <f t="shared" si="0"/>
        <v>1.0989051543855333</v>
      </c>
      <c r="H42" s="191">
        <f t="shared" si="0"/>
        <v>1.0989051543855333</v>
      </c>
    </row>
    <row r="43" spans="1:8" s="172" customFormat="1" ht="23.25" customHeight="1">
      <c r="A43" s="192" t="s">
        <v>19</v>
      </c>
      <c r="B43" s="193" t="s">
        <v>495</v>
      </c>
      <c r="C43" s="194">
        <v>31871</v>
      </c>
      <c r="D43" s="194">
        <f t="shared" si="1"/>
        <v>31871</v>
      </c>
      <c r="E43" s="194">
        <v>33635</v>
      </c>
      <c r="F43" s="194">
        <f t="shared" si="3"/>
        <v>33635</v>
      </c>
      <c r="G43" s="191">
        <f t="shared" si="0"/>
        <v>1.0553481221172853</v>
      </c>
      <c r="H43" s="191">
        <f t="shared" si="0"/>
        <v>1.0553481221172853</v>
      </c>
    </row>
    <row r="44" spans="1:8" s="172" customFormat="1" ht="47.25">
      <c r="A44" s="192"/>
      <c r="B44" s="193" t="s">
        <v>496</v>
      </c>
      <c r="C44" s="194">
        <v>12500</v>
      </c>
      <c r="D44" s="194">
        <f t="shared" si="1"/>
        <v>12500</v>
      </c>
      <c r="E44" s="194">
        <v>22000</v>
      </c>
      <c r="F44" s="194">
        <f t="shared" si="3"/>
        <v>22000</v>
      </c>
      <c r="G44" s="191">
        <f t="shared" si="0"/>
        <v>1.76</v>
      </c>
      <c r="H44" s="191">
        <f t="shared" si="0"/>
        <v>1.76</v>
      </c>
    </row>
    <row r="45" spans="1:8" s="172" customFormat="1" ht="18.75">
      <c r="A45" s="192"/>
      <c r="B45" s="193" t="s">
        <v>497</v>
      </c>
      <c r="C45" s="194">
        <v>3600</v>
      </c>
      <c r="D45" s="194">
        <f t="shared" si="1"/>
        <v>3600</v>
      </c>
      <c r="E45" s="194">
        <v>3660</v>
      </c>
      <c r="F45" s="194">
        <f t="shared" si="3"/>
        <v>3660</v>
      </c>
      <c r="G45" s="191">
        <f t="shared" si="0"/>
        <v>1.0166666666666666</v>
      </c>
      <c r="H45" s="191">
        <f t="shared" si="0"/>
        <v>1.0166666666666666</v>
      </c>
    </row>
    <row r="46" spans="1:8" s="182" customFormat="1" ht="24" customHeight="1">
      <c r="A46" s="183">
        <v>9</v>
      </c>
      <c r="B46" s="184" t="s">
        <v>498</v>
      </c>
      <c r="C46" s="185"/>
      <c r="D46" s="185"/>
      <c r="E46" s="185">
        <v>800</v>
      </c>
      <c r="F46" s="185">
        <f t="shared" si="3"/>
        <v>800</v>
      </c>
      <c r="G46" s="186" t="str">
        <f t="shared" si="0"/>
        <v/>
      </c>
      <c r="H46" s="186" t="str">
        <f t="shared" si="0"/>
        <v/>
      </c>
    </row>
    <row r="47" spans="1:8" s="182" customFormat="1" ht="24" customHeight="1">
      <c r="A47" s="183">
        <v>10</v>
      </c>
      <c r="B47" s="184" t="s">
        <v>499</v>
      </c>
      <c r="C47" s="185">
        <v>3400</v>
      </c>
      <c r="D47" s="185">
        <f t="shared" si="1"/>
        <v>3400</v>
      </c>
      <c r="E47" s="185">
        <v>3800</v>
      </c>
      <c r="F47" s="185">
        <f t="shared" si="3"/>
        <v>3800</v>
      </c>
      <c r="G47" s="186">
        <f t="shared" si="0"/>
        <v>1.1176470588235294</v>
      </c>
      <c r="H47" s="186">
        <f t="shared" si="0"/>
        <v>1.1176470588235294</v>
      </c>
    </row>
    <row r="48" spans="1:8" s="182" customFormat="1" ht="24" customHeight="1">
      <c r="A48" s="183">
        <v>11</v>
      </c>
      <c r="B48" s="184" t="s">
        <v>500</v>
      </c>
      <c r="C48" s="185">
        <v>25000</v>
      </c>
      <c r="D48" s="185">
        <f t="shared" si="1"/>
        <v>25000</v>
      </c>
      <c r="E48" s="185">
        <v>26000</v>
      </c>
      <c r="F48" s="185">
        <f t="shared" si="3"/>
        <v>26000</v>
      </c>
      <c r="G48" s="186">
        <f t="shared" si="0"/>
        <v>1.04</v>
      </c>
      <c r="H48" s="186">
        <f t="shared" si="0"/>
        <v>1.04</v>
      </c>
    </row>
    <row r="49" spans="1:8" s="182" customFormat="1" ht="24" customHeight="1">
      <c r="A49" s="183">
        <v>12</v>
      </c>
      <c r="B49" s="184" t="s">
        <v>501</v>
      </c>
      <c r="C49" s="185">
        <v>400000</v>
      </c>
      <c r="D49" s="185">
        <f t="shared" si="1"/>
        <v>400000</v>
      </c>
      <c r="E49" s="185">
        <v>400000</v>
      </c>
      <c r="F49" s="185">
        <f t="shared" si="3"/>
        <v>400000</v>
      </c>
      <c r="G49" s="186">
        <f t="shared" si="0"/>
        <v>1</v>
      </c>
      <c r="H49" s="186">
        <f t="shared" si="0"/>
        <v>1</v>
      </c>
    </row>
    <row r="50" spans="1:8" s="182" customFormat="1" ht="24" customHeight="1">
      <c r="A50" s="183">
        <v>13</v>
      </c>
      <c r="B50" s="184" t="s">
        <v>502</v>
      </c>
      <c r="C50" s="185">
        <v>1700</v>
      </c>
      <c r="D50" s="185">
        <f t="shared" si="1"/>
        <v>1700</v>
      </c>
      <c r="E50" s="185">
        <v>2500</v>
      </c>
      <c r="F50" s="185">
        <f t="shared" si="3"/>
        <v>2500</v>
      </c>
      <c r="G50" s="186">
        <f t="shared" si="0"/>
        <v>1.4705882352941178</v>
      </c>
      <c r="H50" s="186">
        <f t="shared" si="0"/>
        <v>1.4705882352941178</v>
      </c>
    </row>
    <row r="51" spans="1:8" s="182" customFormat="1" ht="24" customHeight="1">
      <c r="A51" s="183">
        <v>14</v>
      </c>
      <c r="B51" s="184" t="s">
        <v>503</v>
      </c>
      <c r="C51" s="185">
        <v>80000</v>
      </c>
      <c r="D51" s="185">
        <f t="shared" si="1"/>
        <v>80000</v>
      </c>
      <c r="E51" s="185">
        <v>117000</v>
      </c>
      <c r="F51" s="185">
        <f t="shared" si="3"/>
        <v>117000</v>
      </c>
      <c r="G51" s="186">
        <f t="shared" si="0"/>
        <v>1.4624999999999999</v>
      </c>
      <c r="H51" s="186">
        <f t="shared" si="0"/>
        <v>1.4624999999999999</v>
      </c>
    </row>
    <row r="52" spans="1:8" s="182" customFormat="1" ht="33.75" customHeight="1">
      <c r="A52" s="183">
        <v>15</v>
      </c>
      <c r="B52" s="184" t="s">
        <v>504</v>
      </c>
      <c r="C52" s="185">
        <v>100000</v>
      </c>
      <c r="D52" s="185">
        <f>(90000*0.3)+10000</f>
        <v>37000</v>
      </c>
      <c r="E52" s="185">
        <v>108400</v>
      </c>
      <c r="F52" s="185">
        <f>(83000*30%)+18340+7060</f>
        <v>50300</v>
      </c>
      <c r="G52" s="186">
        <f t="shared" si="0"/>
        <v>1.0840000000000001</v>
      </c>
      <c r="H52" s="186">
        <f t="shared" si="0"/>
        <v>1.3594594594594596</v>
      </c>
    </row>
    <row r="53" spans="1:8" s="182" customFormat="1" ht="24" customHeight="1">
      <c r="A53" s="183">
        <v>16</v>
      </c>
      <c r="B53" s="184" t="s">
        <v>505</v>
      </c>
      <c r="C53" s="185">
        <v>67000</v>
      </c>
      <c r="D53" s="185">
        <f>C53-35000</f>
        <v>32000</v>
      </c>
      <c r="E53" s="185">
        <v>73000</v>
      </c>
      <c r="F53" s="185">
        <f>E53-33300-7350-725-1280</f>
        <v>30345</v>
      </c>
      <c r="G53" s="186">
        <f t="shared" si="0"/>
        <v>1.0895522388059702</v>
      </c>
      <c r="H53" s="186">
        <f t="shared" si="0"/>
        <v>0.94828124999999996</v>
      </c>
    </row>
    <row r="54" spans="1:8" s="182" customFormat="1" ht="24" customHeight="1">
      <c r="A54" s="183">
        <v>17</v>
      </c>
      <c r="B54" s="195" t="s">
        <v>506</v>
      </c>
      <c r="C54" s="185">
        <v>300</v>
      </c>
      <c r="D54" s="185">
        <f t="shared" si="1"/>
        <v>300</v>
      </c>
      <c r="E54" s="185">
        <v>700</v>
      </c>
      <c r="F54" s="185">
        <f>E54</f>
        <v>700</v>
      </c>
      <c r="G54" s="186">
        <f t="shared" si="0"/>
        <v>2.3333333333333335</v>
      </c>
      <c r="H54" s="186">
        <f t="shared" si="0"/>
        <v>2.3333333333333335</v>
      </c>
    </row>
    <row r="55" spans="1:8" s="182" customFormat="1" ht="24" customHeight="1">
      <c r="A55" s="183">
        <v>18</v>
      </c>
      <c r="B55" s="184" t="s">
        <v>507</v>
      </c>
      <c r="C55" s="185">
        <v>4000</v>
      </c>
      <c r="D55" s="185">
        <f t="shared" si="1"/>
        <v>4000</v>
      </c>
      <c r="E55" s="185">
        <v>12000</v>
      </c>
      <c r="F55" s="185">
        <f>E55</f>
        <v>12000</v>
      </c>
      <c r="G55" s="186">
        <f t="shared" si="0"/>
        <v>3</v>
      </c>
      <c r="H55" s="186">
        <f t="shared" si="0"/>
        <v>3</v>
      </c>
    </row>
    <row r="56" spans="1:8" s="182" customFormat="1" ht="103.5" customHeight="1">
      <c r="A56" s="183">
        <v>19</v>
      </c>
      <c r="B56" s="184" t="s">
        <v>508</v>
      </c>
      <c r="C56" s="185">
        <v>1345600</v>
      </c>
      <c r="D56" s="185">
        <f>C56</f>
        <v>1345600</v>
      </c>
      <c r="E56" s="185">
        <v>1000000</v>
      </c>
      <c r="F56" s="185">
        <f>E56</f>
        <v>1000000</v>
      </c>
      <c r="G56" s="186">
        <f t="shared" si="0"/>
        <v>0.74316290130796669</v>
      </c>
      <c r="H56" s="186">
        <f t="shared" si="0"/>
        <v>0.74316290130796669</v>
      </c>
    </row>
    <row r="57" spans="1:8" s="182" customFormat="1" ht="18.75">
      <c r="A57" s="183">
        <v>20</v>
      </c>
      <c r="B57" s="184" t="s">
        <v>509</v>
      </c>
      <c r="C57" s="185"/>
      <c r="D57" s="185">
        <f>C57</f>
        <v>0</v>
      </c>
      <c r="E57" s="185"/>
      <c r="F57" s="185">
        <f>E57</f>
        <v>0</v>
      </c>
      <c r="G57" s="186" t="str">
        <f t="shared" si="0"/>
        <v/>
      </c>
      <c r="H57" s="186" t="str">
        <f t="shared" si="0"/>
        <v/>
      </c>
    </row>
    <row r="58" spans="1:8" s="182" customFormat="1" ht="18.75">
      <c r="A58" s="183" t="s">
        <v>25</v>
      </c>
      <c r="B58" s="184" t="s">
        <v>510</v>
      </c>
      <c r="C58" s="185">
        <f>C59+C60+C61+C62+C63</f>
        <v>295000</v>
      </c>
      <c r="D58" s="185">
        <f>D59+D60+D61+D62+D63</f>
        <v>0</v>
      </c>
      <c r="E58" s="185">
        <f>E59+E60+E61+E62+E63</f>
        <v>316000</v>
      </c>
      <c r="F58" s="185"/>
      <c r="G58" s="186">
        <f t="shared" si="0"/>
        <v>1.0711864406779661</v>
      </c>
      <c r="H58" s="186" t="str">
        <f t="shared" si="0"/>
        <v/>
      </c>
    </row>
    <row r="59" spans="1:8" s="171" customFormat="1" ht="18.75">
      <c r="A59" s="187">
        <v>1</v>
      </c>
      <c r="B59" s="188" t="s">
        <v>511</v>
      </c>
      <c r="C59" s="189">
        <v>288000</v>
      </c>
      <c r="D59" s="189"/>
      <c r="E59" s="189">
        <v>309000</v>
      </c>
      <c r="F59" s="189"/>
      <c r="G59" s="190">
        <f t="shared" si="0"/>
        <v>1.0729166666666667</v>
      </c>
      <c r="H59" s="190" t="str">
        <f t="shared" si="0"/>
        <v/>
      </c>
    </row>
    <row r="60" spans="1:8" s="171" customFormat="1" ht="18.75">
      <c r="A60" s="187">
        <v>2</v>
      </c>
      <c r="B60" s="196" t="s">
        <v>512</v>
      </c>
      <c r="C60" s="189">
        <v>6000</v>
      </c>
      <c r="D60" s="189"/>
      <c r="E60" s="189">
        <v>6000</v>
      </c>
      <c r="F60" s="189"/>
      <c r="G60" s="197">
        <f t="shared" si="0"/>
        <v>1</v>
      </c>
      <c r="H60" s="197" t="str">
        <f t="shared" si="0"/>
        <v/>
      </c>
    </row>
    <row r="61" spans="1:8" s="171" customFormat="1" ht="18.75">
      <c r="A61" s="187">
        <v>3</v>
      </c>
      <c r="B61" s="198" t="s">
        <v>513</v>
      </c>
      <c r="C61" s="199">
        <v>500</v>
      </c>
      <c r="D61" s="200"/>
      <c r="E61" s="199">
        <v>300</v>
      </c>
      <c r="F61" s="200"/>
      <c r="G61" s="190">
        <f t="shared" si="0"/>
        <v>0.6</v>
      </c>
      <c r="H61" s="190" t="str">
        <f t="shared" si="0"/>
        <v/>
      </c>
    </row>
    <row r="62" spans="1:8" s="171" customFormat="1" ht="18.75">
      <c r="A62" s="187">
        <v>4</v>
      </c>
      <c r="B62" s="196" t="s">
        <v>484</v>
      </c>
      <c r="C62" s="189"/>
      <c r="D62" s="189"/>
      <c r="E62" s="189"/>
      <c r="F62" s="189"/>
      <c r="G62" s="197" t="str">
        <f t="shared" si="0"/>
        <v/>
      </c>
      <c r="H62" s="197" t="str">
        <f t="shared" si="0"/>
        <v/>
      </c>
    </row>
    <row r="63" spans="1:8" s="171" customFormat="1" ht="18.75">
      <c r="A63" s="187">
        <v>5</v>
      </c>
      <c r="B63" s="198" t="s">
        <v>514</v>
      </c>
      <c r="C63" s="199">
        <v>500</v>
      </c>
      <c r="D63" s="200"/>
      <c r="E63" s="199">
        <v>700</v>
      </c>
      <c r="F63" s="200"/>
      <c r="G63" s="190">
        <f t="shared" si="0"/>
        <v>1.4</v>
      </c>
      <c r="H63" s="190" t="str">
        <f t="shared" si="0"/>
        <v/>
      </c>
    </row>
    <row r="64" spans="1:8" s="204" customFormat="1">
      <c r="A64" s="201" t="s">
        <v>32</v>
      </c>
      <c r="B64" s="202" t="s">
        <v>515</v>
      </c>
      <c r="C64" s="203"/>
      <c r="D64" s="203"/>
      <c r="E64" s="203"/>
      <c r="F64" s="203">
        <f>E64</f>
        <v>0</v>
      </c>
      <c r="G64" s="203" t="str">
        <f t="shared" si="0"/>
        <v/>
      </c>
      <c r="H64" s="203"/>
    </row>
    <row r="65" spans="1:8" hidden="1">
      <c r="A65" s="1041" t="s">
        <v>516</v>
      </c>
      <c r="B65" s="1041"/>
      <c r="C65" s="1041"/>
      <c r="D65" s="1041"/>
      <c r="E65" s="1041"/>
      <c r="F65" s="1041"/>
      <c r="G65" s="1041"/>
      <c r="H65" s="1041"/>
    </row>
    <row r="66" spans="1:8" ht="38.25" hidden="1" customHeight="1">
      <c r="A66" s="171"/>
      <c r="B66" s="1040" t="s">
        <v>517</v>
      </c>
      <c r="C66" s="1040"/>
      <c r="D66" s="1040"/>
      <c r="E66" s="1040"/>
      <c r="F66" s="1040"/>
      <c r="G66" s="1040"/>
      <c r="H66" s="1040"/>
    </row>
    <row r="67" spans="1:8" ht="18.75" hidden="1">
      <c r="A67" s="171"/>
      <c r="B67" s="1039" t="s">
        <v>518</v>
      </c>
      <c r="C67" s="1039"/>
      <c r="D67" s="1039"/>
      <c r="E67" s="1039"/>
      <c r="F67" s="1039"/>
      <c r="G67" s="1039"/>
      <c r="H67" s="1039"/>
    </row>
    <row r="68" spans="1:8" s="207" customFormat="1" ht="33" hidden="1" customHeight="1">
      <c r="A68" s="206"/>
      <c r="B68" s="1040" t="s">
        <v>519</v>
      </c>
      <c r="C68" s="1040"/>
      <c r="D68" s="1040"/>
      <c r="E68" s="1040"/>
      <c r="F68" s="1040"/>
      <c r="G68" s="1040"/>
      <c r="H68" s="1040"/>
    </row>
    <row r="69" spans="1:8" ht="34.5" hidden="1" customHeight="1">
      <c r="A69" s="171"/>
      <c r="B69" s="1040" t="s">
        <v>520</v>
      </c>
      <c r="C69" s="1040"/>
      <c r="D69" s="1040"/>
      <c r="E69" s="1040"/>
      <c r="F69" s="1040"/>
      <c r="G69" s="1040"/>
      <c r="H69" s="1040"/>
    </row>
    <row r="70" spans="1:8" ht="51.75" hidden="1" customHeight="1">
      <c r="A70" s="172"/>
      <c r="B70" s="1040" t="s">
        <v>521</v>
      </c>
      <c r="C70" s="1040"/>
      <c r="D70" s="1040"/>
      <c r="E70" s="1040"/>
      <c r="F70" s="1040"/>
      <c r="G70" s="1040"/>
      <c r="H70" s="1040"/>
    </row>
    <row r="71" spans="1:8" ht="18.75">
      <c r="A71" s="172"/>
      <c r="B71" s="205" t="s">
        <v>522</v>
      </c>
    </row>
    <row r="72" spans="1:8" ht="18.75">
      <c r="A72" s="208"/>
      <c r="B72" s="205" t="s">
        <v>522</v>
      </c>
    </row>
    <row r="73" spans="1:8" ht="18.75">
      <c r="A73" s="208"/>
      <c r="B73" s="205"/>
    </row>
  </sheetData>
  <mergeCells count="20">
    <mergeCell ref="B67:H67"/>
    <mergeCell ref="B68:H68"/>
    <mergeCell ref="B69:H69"/>
    <mergeCell ref="B70:H70"/>
    <mergeCell ref="E6:E7"/>
    <mergeCell ref="F6:F7"/>
    <mergeCell ref="G6:G7"/>
    <mergeCell ref="H6:H7"/>
    <mergeCell ref="A65:H65"/>
    <mergeCell ref="B66:H66"/>
    <mergeCell ref="G1:H1"/>
    <mergeCell ref="A2:H2"/>
    <mergeCell ref="A3:H3"/>
    <mergeCell ref="A5:A7"/>
    <mergeCell ref="B5:B7"/>
    <mergeCell ref="C5:D5"/>
    <mergeCell ref="E5:F5"/>
    <mergeCell ref="G5:H5"/>
    <mergeCell ref="C6:C7"/>
    <mergeCell ref="D6:D7"/>
  </mergeCells>
  <printOptions horizontalCentered="1"/>
  <pageMargins left="0.55118110236220474" right="0.43307086614173229" top="0.39370078740157483" bottom="0.39370078740157483" header="0.23622047244094491" footer="0.19685039370078741"/>
  <pageSetup paperSize="9" scale="63" fitToHeight="0" orientation="portrait" r:id="rId1"/>
  <headerFooter alignWithMargins="0">
    <oddHeader xml:space="preserve">&amp;C                                                                                                                                </oddHeader>
    <oddFooter>&amp;C&amp;".VnTime,  Italic"&amp;8
&amp;".VnTime,Regular"&amp;12&amp;P/&amp;N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111"/>
  <sheetViews>
    <sheetView showZeros="0" zoomScale="80" zoomScaleNormal="80" workbookViewId="0">
      <pane xSplit="2" ySplit="8" topLeftCell="C9" activePane="bottomRight" state="frozen"/>
      <selection activeCell="A44" sqref="A44:XFD45"/>
      <selection pane="topRight" activeCell="A44" sqref="A44:XFD45"/>
      <selection pane="bottomLeft" activeCell="A44" sqref="A44:XFD45"/>
      <selection pane="bottomRight" activeCell="A44" sqref="A44:XFD45"/>
    </sheetView>
  </sheetViews>
  <sheetFormatPr defaultRowHeight="15.75"/>
  <cols>
    <col min="1" max="1" width="6" style="212" customWidth="1"/>
    <col min="2" max="2" width="65.42578125" style="212" customWidth="1"/>
    <col min="3" max="3" width="15.140625" style="212" customWidth="1"/>
    <col min="4" max="4" width="15" style="212" customWidth="1"/>
    <col min="5" max="5" width="15.7109375" style="210" customWidth="1"/>
    <col min="6" max="6" width="11.7109375" style="210" customWidth="1"/>
    <col min="7" max="7" width="11.42578125" style="212" bestFit="1" customWidth="1"/>
    <col min="8" max="9" width="10.5703125" style="212" bestFit="1" customWidth="1"/>
    <col min="10" max="256" width="9.140625" style="212"/>
    <col min="257" max="257" width="6" style="212" customWidth="1"/>
    <col min="258" max="258" width="65.42578125" style="212" customWidth="1"/>
    <col min="259" max="259" width="15.140625" style="212" customWidth="1"/>
    <col min="260" max="260" width="15" style="212" customWidth="1"/>
    <col min="261" max="261" width="18.7109375" style="212" customWidth="1"/>
    <col min="262" max="262" width="11.7109375" style="212" customWidth="1"/>
    <col min="263" max="263" width="11.42578125" style="212" bestFit="1" customWidth="1"/>
    <col min="264" max="265" width="10.5703125" style="212" bestFit="1" customWidth="1"/>
    <col min="266" max="512" width="9.140625" style="212"/>
    <col min="513" max="513" width="6" style="212" customWidth="1"/>
    <col min="514" max="514" width="65.42578125" style="212" customWidth="1"/>
    <col min="515" max="515" width="15.140625" style="212" customWidth="1"/>
    <col min="516" max="516" width="15" style="212" customWidth="1"/>
    <col min="517" max="517" width="18.7109375" style="212" customWidth="1"/>
    <col min="518" max="518" width="11.7109375" style="212" customWidth="1"/>
    <col min="519" max="519" width="11.42578125" style="212" bestFit="1" customWidth="1"/>
    <col min="520" max="521" width="10.5703125" style="212" bestFit="1" customWidth="1"/>
    <col min="522" max="768" width="9.140625" style="212"/>
    <col min="769" max="769" width="6" style="212" customWidth="1"/>
    <col min="770" max="770" width="65.42578125" style="212" customWidth="1"/>
    <col min="771" max="771" width="15.140625" style="212" customWidth="1"/>
    <col min="772" max="772" width="15" style="212" customWidth="1"/>
    <col min="773" max="773" width="18.7109375" style="212" customWidth="1"/>
    <col min="774" max="774" width="11.7109375" style="212" customWidth="1"/>
    <col min="775" max="775" width="11.42578125" style="212" bestFit="1" customWidth="1"/>
    <col min="776" max="777" width="10.5703125" style="212" bestFit="1" customWidth="1"/>
    <col min="778" max="1024" width="9.140625" style="212"/>
    <col min="1025" max="1025" width="6" style="212" customWidth="1"/>
    <col min="1026" max="1026" width="65.42578125" style="212" customWidth="1"/>
    <col min="1027" max="1027" width="15.140625" style="212" customWidth="1"/>
    <col min="1028" max="1028" width="15" style="212" customWidth="1"/>
    <col min="1029" max="1029" width="18.7109375" style="212" customWidth="1"/>
    <col min="1030" max="1030" width="11.7109375" style="212" customWidth="1"/>
    <col min="1031" max="1031" width="11.42578125" style="212" bestFit="1" customWidth="1"/>
    <col min="1032" max="1033" width="10.5703125" style="212" bestFit="1" customWidth="1"/>
    <col min="1034" max="1280" width="9.140625" style="212"/>
    <col min="1281" max="1281" width="6" style="212" customWidth="1"/>
    <col min="1282" max="1282" width="65.42578125" style="212" customWidth="1"/>
    <col min="1283" max="1283" width="15.140625" style="212" customWidth="1"/>
    <col min="1284" max="1284" width="15" style="212" customWidth="1"/>
    <col min="1285" max="1285" width="18.7109375" style="212" customWidth="1"/>
    <col min="1286" max="1286" width="11.7109375" style="212" customWidth="1"/>
    <col min="1287" max="1287" width="11.42578125" style="212" bestFit="1" customWidth="1"/>
    <col min="1288" max="1289" width="10.5703125" style="212" bestFit="1" customWidth="1"/>
    <col min="1290" max="1536" width="9.140625" style="212"/>
    <col min="1537" max="1537" width="6" style="212" customWidth="1"/>
    <col min="1538" max="1538" width="65.42578125" style="212" customWidth="1"/>
    <col min="1539" max="1539" width="15.140625" style="212" customWidth="1"/>
    <col min="1540" max="1540" width="15" style="212" customWidth="1"/>
    <col min="1541" max="1541" width="18.7109375" style="212" customWidth="1"/>
    <col min="1542" max="1542" width="11.7109375" style="212" customWidth="1"/>
    <col min="1543" max="1543" width="11.42578125" style="212" bestFit="1" customWidth="1"/>
    <col min="1544" max="1545" width="10.5703125" style="212" bestFit="1" customWidth="1"/>
    <col min="1546" max="1792" width="9.140625" style="212"/>
    <col min="1793" max="1793" width="6" style="212" customWidth="1"/>
    <col min="1794" max="1794" width="65.42578125" style="212" customWidth="1"/>
    <col min="1795" max="1795" width="15.140625" style="212" customWidth="1"/>
    <col min="1796" max="1796" width="15" style="212" customWidth="1"/>
    <col min="1797" max="1797" width="18.7109375" style="212" customWidth="1"/>
    <col min="1798" max="1798" width="11.7109375" style="212" customWidth="1"/>
    <col min="1799" max="1799" width="11.42578125" style="212" bestFit="1" customWidth="1"/>
    <col min="1800" max="1801" width="10.5703125" style="212" bestFit="1" customWidth="1"/>
    <col min="1802" max="2048" width="9.140625" style="212"/>
    <col min="2049" max="2049" width="6" style="212" customWidth="1"/>
    <col min="2050" max="2050" width="65.42578125" style="212" customWidth="1"/>
    <col min="2051" max="2051" width="15.140625" style="212" customWidth="1"/>
    <col min="2052" max="2052" width="15" style="212" customWidth="1"/>
    <col min="2053" max="2053" width="18.7109375" style="212" customWidth="1"/>
    <col min="2054" max="2054" width="11.7109375" style="212" customWidth="1"/>
    <col min="2055" max="2055" width="11.42578125" style="212" bestFit="1" customWidth="1"/>
    <col min="2056" max="2057" width="10.5703125" style="212" bestFit="1" customWidth="1"/>
    <col min="2058" max="2304" width="9.140625" style="212"/>
    <col min="2305" max="2305" width="6" style="212" customWidth="1"/>
    <col min="2306" max="2306" width="65.42578125" style="212" customWidth="1"/>
    <col min="2307" max="2307" width="15.140625" style="212" customWidth="1"/>
    <col min="2308" max="2308" width="15" style="212" customWidth="1"/>
    <col min="2309" max="2309" width="18.7109375" style="212" customWidth="1"/>
    <col min="2310" max="2310" width="11.7109375" style="212" customWidth="1"/>
    <col min="2311" max="2311" width="11.42578125" style="212" bestFit="1" customWidth="1"/>
    <col min="2312" max="2313" width="10.5703125" style="212" bestFit="1" customWidth="1"/>
    <col min="2314" max="2560" width="9.140625" style="212"/>
    <col min="2561" max="2561" width="6" style="212" customWidth="1"/>
    <col min="2562" max="2562" width="65.42578125" style="212" customWidth="1"/>
    <col min="2563" max="2563" width="15.140625" style="212" customWidth="1"/>
    <col min="2564" max="2564" width="15" style="212" customWidth="1"/>
    <col min="2565" max="2565" width="18.7109375" style="212" customWidth="1"/>
    <col min="2566" max="2566" width="11.7109375" style="212" customWidth="1"/>
    <col min="2567" max="2567" width="11.42578125" style="212" bestFit="1" customWidth="1"/>
    <col min="2568" max="2569" width="10.5703125" style="212" bestFit="1" customWidth="1"/>
    <col min="2570" max="2816" width="9.140625" style="212"/>
    <col min="2817" max="2817" width="6" style="212" customWidth="1"/>
    <col min="2818" max="2818" width="65.42578125" style="212" customWidth="1"/>
    <col min="2819" max="2819" width="15.140625" style="212" customWidth="1"/>
    <col min="2820" max="2820" width="15" style="212" customWidth="1"/>
    <col min="2821" max="2821" width="18.7109375" style="212" customWidth="1"/>
    <col min="2822" max="2822" width="11.7109375" style="212" customWidth="1"/>
    <col min="2823" max="2823" width="11.42578125" style="212" bestFit="1" customWidth="1"/>
    <col min="2824" max="2825" width="10.5703125" style="212" bestFit="1" customWidth="1"/>
    <col min="2826" max="3072" width="9.140625" style="212"/>
    <col min="3073" max="3073" width="6" style="212" customWidth="1"/>
    <col min="3074" max="3074" width="65.42578125" style="212" customWidth="1"/>
    <col min="3075" max="3075" width="15.140625" style="212" customWidth="1"/>
    <col min="3076" max="3076" width="15" style="212" customWidth="1"/>
    <col min="3077" max="3077" width="18.7109375" style="212" customWidth="1"/>
    <col min="3078" max="3078" width="11.7109375" style="212" customWidth="1"/>
    <col min="3079" max="3079" width="11.42578125" style="212" bestFit="1" customWidth="1"/>
    <col min="3080" max="3081" width="10.5703125" style="212" bestFit="1" customWidth="1"/>
    <col min="3082" max="3328" width="9.140625" style="212"/>
    <col min="3329" max="3329" width="6" style="212" customWidth="1"/>
    <col min="3330" max="3330" width="65.42578125" style="212" customWidth="1"/>
    <col min="3331" max="3331" width="15.140625" style="212" customWidth="1"/>
    <col min="3332" max="3332" width="15" style="212" customWidth="1"/>
    <col min="3333" max="3333" width="18.7109375" style="212" customWidth="1"/>
    <col min="3334" max="3334" width="11.7109375" style="212" customWidth="1"/>
    <col min="3335" max="3335" width="11.42578125" style="212" bestFit="1" customWidth="1"/>
    <col min="3336" max="3337" width="10.5703125" style="212" bestFit="1" customWidth="1"/>
    <col min="3338" max="3584" width="9.140625" style="212"/>
    <col min="3585" max="3585" width="6" style="212" customWidth="1"/>
    <col min="3586" max="3586" width="65.42578125" style="212" customWidth="1"/>
    <col min="3587" max="3587" width="15.140625" style="212" customWidth="1"/>
    <col min="3588" max="3588" width="15" style="212" customWidth="1"/>
    <col min="3589" max="3589" width="18.7109375" style="212" customWidth="1"/>
    <col min="3590" max="3590" width="11.7109375" style="212" customWidth="1"/>
    <col min="3591" max="3591" width="11.42578125" style="212" bestFit="1" customWidth="1"/>
    <col min="3592" max="3593" width="10.5703125" style="212" bestFit="1" customWidth="1"/>
    <col min="3594" max="3840" width="9.140625" style="212"/>
    <col min="3841" max="3841" width="6" style="212" customWidth="1"/>
    <col min="3842" max="3842" width="65.42578125" style="212" customWidth="1"/>
    <col min="3843" max="3843" width="15.140625" style="212" customWidth="1"/>
    <col min="3844" max="3844" width="15" style="212" customWidth="1"/>
    <col min="3845" max="3845" width="18.7109375" style="212" customWidth="1"/>
    <col min="3846" max="3846" width="11.7109375" style="212" customWidth="1"/>
    <col min="3847" max="3847" width="11.42578125" style="212" bestFit="1" customWidth="1"/>
    <col min="3848" max="3849" width="10.5703125" style="212" bestFit="1" customWidth="1"/>
    <col min="3850" max="4096" width="9.140625" style="212"/>
    <col min="4097" max="4097" width="6" style="212" customWidth="1"/>
    <col min="4098" max="4098" width="65.42578125" style="212" customWidth="1"/>
    <col min="4099" max="4099" width="15.140625" style="212" customWidth="1"/>
    <col min="4100" max="4100" width="15" style="212" customWidth="1"/>
    <col min="4101" max="4101" width="18.7109375" style="212" customWidth="1"/>
    <col min="4102" max="4102" width="11.7109375" style="212" customWidth="1"/>
    <col min="4103" max="4103" width="11.42578125" style="212" bestFit="1" customWidth="1"/>
    <col min="4104" max="4105" width="10.5703125" style="212" bestFit="1" customWidth="1"/>
    <col min="4106" max="4352" width="9.140625" style="212"/>
    <col min="4353" max="4353" width="6" style="212" customWidth="1"/>
    <col min="4354" max="4354" width="65.42578125" style="212" customWidth="1"/>
    <col min="4355" max="4355" width="15.140625" style="212" customWidth="1"/>
    <col min="4356" max="4356" width="15" style="212" customWidth="1"/>
    <col min="4357" max="4357" width="18.7109375" style="212" customWidth="1"/>
    <col min="4358" max="4358" width="11.7109375" style="212" customWidth="1"/>
    <col min="4359" max="4359" width="11.42578125" style="212" bestFit="1" customWidth="1"/>
    <col min="4360" max="4361" width="10.5703125" style="212" bestFit="1" customWidth="1"/>
    <col min="4362" max="4608" width="9.140625" style="212"/>
    <col min="4609" max="4609" width="6" style="212" customWidth="1"/>
    <col min="4610" max="4610" width="65.42578125" style="212" customWidth="1"/>
    <col min="4611" max="4611" width="15.140625" style="212" customWidth="1"/>
    <col min="4612" max="4612" width="15" style="212" customWidth="1"/>
    <col min="4613" max="4613" width="18.7109375" style="212" customWidth="1"/>
    <col min="4614" max="4614" width="11.7109375" style="212" customWidth="1"/>
    <col min="4615" max="4615" width="11.42578125" style="212" bestFit="1" customWidth="1"/>
    <col min="4616" max="4617" width="10.5703125" style="212" bestFit="1" customWidth="1"/>
    <col min="4618" max="4864" width="9.140625" style="212"/>
    <col min="4865" max="4865" width="6" style="212" customWidth="1"/>
    <col min="4866" max="4866" width="65.42578125" style="212" customWidth="1"/>
    <col min="4867" max="4867" width="15.140625" style="212" customWidth="1"/>
    <col min="4868" max="4868" width="15" style="212" customWidth="1"/>
    <col min="4869" max="4869" width="18.7109375" style="212" customWidth="1"/>
    <col min="4870" max="4870" width="11.7109375" style="212" customWidth="1"/>
    <col min="4871" max="4871" width="11.42578125" style="212" bestFit="1" customWidth="1"/>
    <col min="4872" max="4873" width="10.5703125" style="212" bestFit="1" customWidth="1"/>
    <col min="4874" max="5120" width="9.140625" style="212"/>
    <col min="5121" max="5121" width="6" style="212" customWidth="1"/>
    <col min="5122" max="5122" width="65.42578125" style="212" customWidth="1"/>
    <col min="5123" max="5123" width="15.140625" style="212" customWidth="1"/>
    <col min="5124" max="5124" width="15" style="212" customWidth="1"/>
    <col min="5125" max="5125" width="18.7109375" style="212" customWidth="1"/>
    <col min="5126" max="5126" width="11.7109375" style="212" customWidth="1"/>
    <col min="5127" max="5127" width="11.42578125" style="212" bestFit="1" customWidth="1"/>
    <col min="5128" max="5129" width="10.5703125" style="212" bestFit="1" customWidth="1"/>
    <col min="5130" max="5376" width="9.140625" style="212"/>
    <col min="5377" max="5377" width="6" style="212" customWidth="1"/>
    <col min="5378" max="5378" width="65.42578125" style="212" customWidth="1"/>
    <col min="5379" max="5379" width="15.140625" style="212" customWidth="1"/>
    <col min="5380" max="5380" width="15" style="212" customWidth="1"/>
    <col min="5381" max="5381" width="18.7109375" style="212" customWidth="1"/>
    <col min="5382" max="5382" width="11.7109375" style="212" customWidth="1"/>
    <col min="5383" max="5383" width="11.42578125" style="212" bestFit="1" customWidth="1"/>
    <col min="5384" max="5385" width="10.5703125" style="212" bestFit="1" customWidth="1"/>
    <col min="5386" max="5632" width="9.140625" style="212"/>
    <col min="5633" max="5633" width="6" style="212" customWidth="1"/>
    <col min="5634" max="5634" width="65.42578125" style="212" customWidth="1"/>
    <col min="5635" max="5635" width="15.140625" style="212" customWidth="1"/>
    <col min="5636" max="5636" width="15" style="212" customWidth="1"/>
    <col min="5637" max="5637" width="18.7109375" style="212" customWidth="1"/>
    <col min="5638" max="5638" width="11.7109375" style="212" customWidth="1"/>
    <col min="5639" max="5639" width="11.42578125" style="212" bestFit="1" customWidth="1"/>
    <col min="5640" max="5641" width="10.5703125" style="212" bestFit="1" customWidth="1"/>
    <col min="5642" max="5888" width="9.140625" style="212"/>
    <col min="5889" max="5889" width="6" style="212" customWidth="1"/>
    <col min="5890" max="5890" width="65.42578125" style="212" customWidth="1"/>
    <col min="5891" max="5891" width="15.140625" style="212" customWidth="1"/>
    <col min="5892" max="5892" width="15" style="212" customWidth="1"/>
    <col min="5893" max="5893" width="18.7109375" style="212" customWidth="1"/>
    <col min="5894" max="5894" width="11.7109375" style="212" customWidth="1"/>
    <col min="5895" max="5895" width="11.42578125" style="212" bestFit="1" customWidth="1"/>
    <col min="5896" max="5897" width="10.5703125" style="212" bestFit="1" customWidth="1"/>
    <col min="5898" max="6144" width="9.140625" style="212"/>
    <col min="6145" max="6145" width="6" style="212" customWidth="1"/>
    <col min="6146" max="6146" width="65.42578125" style="212" customWidth="1"/>
    <col min="6147" max="6147" width="15.140625" style="212" customWidth="1"/>
    <col min="6148" max="6148" width="15" style="212" customWidth="1"/>
    <col min="6149" max="6149" width="18.7109375" style="212" customWidth="1"/>
    <col min="6150" max="6150" width="11.7109375" style="212" customWidth="1"/>
    <col min="6151" max="6151" width="11.42578125" style="212" bestFit="1" customWidth="1"/>
    <col min="6152" max="6153" width="10.5703125" style="212" bestFit="1" customWidth="1"/>
    <col min="6154" max="6400" width="9.140625" style="212"/>
    <col min="6401" max="6401" width="6" style="212" customWidth="1"/>
    <col min="6402" max="6402" width="65.42578125" style="212" customWidth="1"/>
    <col min="6403" max="6403" width="15.140625" style="212" customWidth="1"/>
    <col min="6404" max="6404" width="15" style="212" customWidth="1"/>
    <col min="6405" max="6405" width="18.7109375" style="212" customWidth="1"/>
    <col min="6406" max="6406" width="11.7109375" style="212" customWidth="1"/>
    <col min="6407" max="6407" width="11.42578125" style="212" bestFit="1" customWidth="1"/>
    <col min="6408" max="6409" width="10.5703125" style="212" bestFit="1" customWidth="1"/>
    <col min="6410" max="6656" width="9.140625" style="212"/>
    <col min="6657" max="6657" width="6" style="212" customWidth="1"/>
    <col min="6658" max="6658" width="65.42578125" style="212" customWidth="1"/>
    <col min="6659" max="6659" width="15.140625" style="212" customWidth="1"/>
    <col min="6660" max="6660" width="15" style="212" customWidth="1"/>
    <col min="6661" max="6661" width="18.7109375" style="212" customWidth="1"/>
    <col min="6662" max="6662" width="11.7109375" style="212" customWidth="1"/>
    <col min="6663" max="6663" width="11.42578125" style="212" bestFit="1" customWidth="1"/>
    <col min="6664" max="6665" width="10.5703125" style="212" bestFit="1" customWidth="1"/>
    <col min="6666" max="6912" width="9.140625" style="212"/>
    <col min="6913" max="6913" width="6" style="212" customWidth="1"/>
    <col min="6914" max="6914" width="65.42578125" style="212" customWidth="1"/>
    <col min="6915" max="6915" width="15.140625" style="212" customWidth="1"/>
    <col min="6916" max="6916" width="15" style="212" customWidth="1"/>
    <col min="6917" max="6917" width="18.7109375" style="212" customWidth="1"/>
    <col min="6918" max="6918" width="11.7109375" style="212" customWidth="1"/>
    <col min="6919" max="6919" width="11.42578125" style="212" bestFit="1" customWidth="1"/>
    <col min="6920" max="6921" width="10.5703125" style="212" bestFit="1" customWidth="1"/>
    <col min="6922" max="7168" width="9.140625" style="212"/>
    <col min="7169" max="7169" width="6" style="212" customWidth="1"/>
    <col min="7170" max="7170" width="65.42578125" style="212" customWidth="1"/>
    <col min="7171" max="7171" width="15.140625" style="212" customWidth="1"/>
    <col min="7172" max="7172" width="15" style="212" customWidth="1"/>
    <col min="7173" max="7173" width="18.7109375" style="212" customWidth="1"/>
    <col min="7174" max="7174" width="11.7109375" style="212" customWidth="1"/>
    <col min="7175" max="7175" width="11.42578125" style="212" bestFit="1" customWidth="1"/>
    <col min="7176" max="7177" width="10.5703125" style="212" bestFit="1" customWidth="1"/>
    <col min="7178" max="7424" width="9.140625" style="212"/>
    <col min="7425" max="7425" width="6" style="212" customWidth="1"/>
    <col min="7426" max="7426" width="65.42578125" style="212" customWidth="1"/>
    <col min="7427" max="7427" width="15.140625" style="212" customWidth="1"/>
    <col min="7428" max="7428" width="15" style="212" customWidth="1"/>
    <col min="7429" max="7429" width="18.7109375" style="212" customWidth="1"/>
    <col min="7430" max="7430" width="11.7109375" style="212" customWidth="1"/>
    <col min="7431" max="7431" width="11.42578125" style="212" bestFit="1" customWidth="1"/>
    <col min="7432" max="7433" width="10.5703125" style="212" bestFit="1" customWidth="1"/>
    <col min="7434" max="7680" width="9.140625" style="212"/>
    <col min="7681" max="7681" width="6" style="212" customWidth="1"/>
    <col min="7682" max="7682" width="65.42578125" style="212" customWidth="1"/>
    <col min="7683" max="7683" width="15.140625" style="212" customWidth="1"/>
    <col min="7684" max="7684" width="15" style="212" customWidth="1"/>
    <col min="7685" max="7685" width="18.7109375" style="212" customWidth="1"/>
    <col min="7686" max="7686" width="11.7109375" style="212" customWidth="1"/>
    <col min="7687" max="7687" width="11.42578125" style="212" bestFit="1" customWidth="1"/>
    <col min="7688" max="7689" width="10.5703125" style="212" bestFit="1" customWidth="1"/>
    <col min="7690" max="7936" width="9.140625" style="212"/>
    <col min="7937" max="7937" width="6" style="212" customWidth="1"/>
    <col min="7938" max="7938" width="65.42578125" style="212" customWidth="1"/>
    <col min="7939" max="7939" width="15.140625" style="212" customWidth="1"/>
    <col min="7940" max="7940" width="15" style="212" customWidth="1"/>
    <col min="7941" max="7941" width="18.7109375" style="212" customWidth="1"/>
    <col min="7942" max="7942" width="11.7109375" style="212" customWidth="1"/>
    <col min="7943" max="7943" width="11.42578125" style="212" bestFit="1" customWidth="1"/>
    <col min="7944" max="7945" width="10.5703125" style="212" bestFit="1" customWidth="1"/>
    <col min="7946" max="8192" width="9.140625" style="212"/>
    <col min="8193" max="8193" width="6" style="212" customWidth="1"/>
    <col min="8194" max="8194" width="65.42578125" style="212" customWidth="1"/>
    <col min="8195" max="8195" width="15.140625" style="212" customWidth="1"/>
    <col min="8196" max="8196" width="15" style="212" customWidth="1"/>
    <col min="8197" max="8197" width="18.7109375" style="212" customWidth="1"/>
    <col min="8198" max="8198" width="11.7109375" style="212" customWidth="1"/>
    <col min="8199" max="8199" width="11.42578125" style="212" bestFit="1" customWidth="1"/>
    <col min="8200" max="8201" width="10.5703125" style="212" bestFit="1" customWidth="1"/>
    <col min="8202" max="8448" width="9.140625" style="212"/>
    <col min="8449" max="8449" width="6" style="212" customWidth="1"/>
    <col min="8450" max="8450" width="65.42578125" style="212" customWidth="1"/>
    <col min="8451" max="8451" width="15.140625" style="212" customWidth="1"/>
    <col min="8452" max="8452" width="15" style="212" customWidth="1"/>
    <col min="8453" max="8453" width="18.7109375" style="212" customWidth="1"/>
    <col min="8454" max="8454" width="11.7109375" style="212" customWidth="1"/>
    <col min="8455" max="8455" width="11.42578125" style="212" bestFit="1" customWidth="1"/>
    <col min="8456" max="8457" width="10.5703125" style="212" bestFit="1" customWidth="1"/>
    <col min="8458" max="8704" width="9.140625" style="212"/>
    <col min="8705" max="8705" width="6" style="212" customWidth="1"/>
    <col min="8706" max="8706" width="65.42578125" style="212" customWidth="1"/>
    <col min="8707" max="8707" width="15.140625" style="212" customWidth="1"/>
    <col min="8708" max="8708" width="15" style="212" customWidth="1"/>
    <col min="8709" max="8709" width="18.7109375" style="212" customWidth="1"/>
    <col min="8710" max="8710" width="11.7109375" style="212" customWidth="1"/>
    <col min="8711" max="8711" width="11.42578125" style="212" bestFit="1" customWidth="1"/>
    <col min="8712" max="8713" width="10.5703125" style="212" bestFit="1" customWidth="1"/>
    <col min="8714" max="8960" width="9.140625" style="212"/>
    <col min="8961" max="8961" width="6" style="212" customWidth="1"/>
    <col min="8962" max="8962" width="65.42578125" style="212" customWidth="1"/>
    <col min="8963" max="8963" width="15.140625" style="212" customWidth="1"/>
    <col min="8964" max="8964" width="15" style="212" customWidth="1"/>
    <col min="8965" max="8965" width="18.7109375" style="212" customWidth="1"/>
    <col min="8966" max="8966" width="11.7109375" style="212" customWidth="1"/>
    <col min="8967" max="8967" width="11.42578125" style="212" bestFit="1" customWidth="1"/>
    <col min="8968" max="8969" width="10.5703125" style="212" bestFit="1" customWidth="1"/>
    <col min="8970" max="9216" width="9.140625" style="212"/>
    <col min="9217" max="9217" width="6" style="212" customWidth="1"/>
    <col min="9218" max="9218" width="65.42578125" style="212" customWidth="1"/>
    <col min="9219" max="9219" width="15.140625" style="212" customWidth="1"/>
    <col min="9220" max="9220" width="15" style="212" customWidth="1"/>
    <col min="9221" max="9221" width="18.7109375" style="212" customWidth="1"/>
    <col min="9222" max="9222" width="11.7109375" style="212" customWidth="1"/>
    <col min="9223" max="9223" width="11.42578125" style="212" bestFit="1" customWidth="1"/>
    <col min="9224" max="9225" width="10.5703125" style="212" bestFit="1" customWidth="1"/>
    <col min="9226" max="9472" width="9.140625" style="212"/>
    <col min="9473" max="9473" width="6" style="212" customWidth="1"/>
    <col min="9474" max="9474" width="65.42578125" style="212" customWidth="1"/>
    <col min="9475" max="9475" width="15.140625" style="212" customWidth="1"/>
    <col min="9476" max="9476" width="15" style="212" customWidth="1"/>
    <col min="9477" max="9477" width="18.7109375" style="212" customWidth="1"/>
    <col min="9478" max="9478" width="11.7109375" style="212" customWidth="1"/>
    <col min="9479" max="9479" width="11.42578125" style="212" bestFit="1" customWidth="1"/>
    <col min="9480" max="9481" width="10.5703125" style="212" bestFit="1" customWidth="1"/>
    <col min="9482" max="9728" width="9.140625" style="212"/>
    <col min="9729" max="9729" width="6" style="212" customWidth="1"/>
    <col min="9730" max="9730" width="65.42578125" style="212" customWidth="1"/>
    <col min="9731" max="9731" width="15.140625" style="212" customWidth="1"/>
    <col min="9732" max="9732" width="15" style="212" customWidth="1"/>
    <col min="9733" max="9733" width="18.7109375" style="212" customWidth="1"/>
    <col min="9734" max="9734" width="11.7109375" style="212" customWidth="1"/>
    <col min="9735" max="9735" width="11.42578125" style="212" bestFit="1" customWidth="1"/>
    <col min="9736" max="9737" width="10.5703125" style="212" bestFit="1" customWidth="1"/>
    <col min="9738" max="9984" width="9.140625" style="212"/>
    <col min="9985" max="9985" width="6" style="212" customWidth="1"/>
    <col min="9986" max="9986" width="65.42578125" style="212" customWidth="1"/>
    <col min="9987" max="9987" width="15.140625" style="212" customWidth="1"/>
    <col min="9988" max="9988" width="15" style="212" customWidth="1"/>
    <col min="9989" max="9989" width="18.7109375" style="212" customWidth="1"/>
    <col min="9990" max="9990" width="11.7109375" style="212" customWidth="1"/>
    <col min="9991" max="9991" width="11.42578125" style="212" bestFit="1" customWidth="1"/>
    <col min="9992" max="9993" width="10.5703125" style="212" bestFit="1" customWidth="1"/>
    <col min="9994" max="10240" width="9.140625" style="212"/>
    <col min="10241" max="10241" width="6" style="212" customWidth="1"/>
    <col min="10242" max="10242" width="65.42578125" style="212" customWidth="1"/>
    <col min="10243" max="10243" width="15.140625" style="212" customWidth="1"/>
    <col min="10244" max="10244" width="15" style="212" customWidth="1"/>
    <col min="10245" max="10245" width="18.7109375" style="212" customWidth="1"/>
    <col min="10246" max="10246" width="11.7109375" style="212" customWidth="1"/>
    <col min="10247" max="10247" width="11.42578125" style="212" bestFit="1" customWidth="1"/>
    <col min="10248" max="10249" width="10.5703125" style="212" bestFit="1" customWidth="1"/>
    <col min="10250" max="10496" width="9.140625" style="212"/>
    <col min="10497" max="10497" width="6" style="212" customWidth="1"/>
    <col min="10498" max="10498" width="65.42578125" style="212" customWidth="1"/>
    <col min="10499" max="10499" width="15.140625" style="212" customWidth="1"/>
    <col min="10500" max="10500" width="15" style="212" customWidth="1"/>
    <col min="10501" max="10501" width="18.7109375" style="212" customWidth="1"/>
    <col min="10502" max="10502" width="11.7109375" style="212" customWidth="1"/>
    <col min="10503" max="10503" width="11.42578125" style="212" bestFit="1" customWidth="1"/>
    <col min="10504" max="10505" width="10.5703125" style="212" bestFit="1" customWidth="1"/>
    <col min="10506" max="10752" width="9.140625" style="212"/>
    <col min="10753" max="10753" width="6" style="212" customWidth="1"/>
    <col min="10754" max="10754" width="65.42578125" style="212" customWidth="1"/>
    <col min="10755" max="10755" width="15.140625" style="212" customWidth="1"/>
    <col min="10756" max="10756" width="15" style="212" customWidth="1"/>
    <col min="10757" max="10757" width="18.7109375" style="212" customWidth="1"/>
    <col min="10758" max="10758" width="11.7109375" style="212" customWidth="1"/>
    <col min="10759" max="10759" width="11.42578125" style="212" bestFit="1" customWidth="1"/>
    <col min="10760" max="10761" width="10.5703125" style="212" bestFit="1" customWidth="1"/>
    <col min="10762" max="11008" width="9.140625" style="212"/>
    <col min="11009" max="11009" width="6" style="212" customWidth="1"/>
    <col min="11010" max="11010" width="65.42578125" style="212" customWidth="1"/>
    <col min="11011" max="11011" width="15.140625" style="212" customWidth="1"/>
    <col min="11012" max="11012" width="15" style="212" customWidth="1"/>
    <col min="11013" max="11013" width="18.7109375" style="212" customWidth="1"/>
    <col min="11014" max="11014" width="11.7109375" style="212" customWidth="1"/>
    <col min="11015" max="11015" width="11.42578125" style="212" bestFit="1" customWidth="1"/>
    <col min="11016" max="11017" width="10.5703125" style="212" bestFit="1" customWidth="1"/>
    <col min="11018" max="11264" width="9.140625" style="212"/>
    <col min="11265" max="11265" width="6" style="212" customWidth="1"/>
    <col min="11266" max="11266" width="65.42578125" style="212" customWidth="1"/>
    <col min="11267" max="11267" width="15.140625" style="212" customWidth="1"/>
    <col min="11268" max="11268" width="15" style="212" customWidth="1"/>
    <col min="11269" max="11269" width="18.7109375" style="212" customWidth="1"/>
    <col min="11270" max="11270" width="11.7109375" style="212" customWidth="1"/>
    <col min="11271" max="11271" width="11.42578125" style="212" bestFit="1" customWidth="1"/>
    <col min="11272" max="11273" width="10.5703125" style="212" bestFit="1" customWidth="1"/>
    <col min="11274" max="11520" width="9.140625" style="212"/>
    <col min="11521" max="11521" width="6" style="212" customWidth="1"/>
    <col min="11522" max="11522" width="65.42578125" style="212" customWidth="1"/>
    <col min="11523" max="11523" width="15.140625" style="212" customWidth="1"/>
    <col min="11524" max="11524" width="15" style="212" customWidth="1"/>
    <col min="11525" max="11525" width="18.7109375" style="212" customWidth="1"/>
    <col min="11526" max="11526" width="11.7109375" style="212" customWidth="1"/>
    <col min="11527" max="11527" width="11.42578125" style="212" bestFit="1" customWidth="1"/>
    <col min="11528" max="11529" width="10.5703125" style="212" bestFit="1" customWidth="1"/>
    <col min="11530" max="11776" width="9.140625" style="212"/>
    <col min="11777" max="11777" width="6" style="212" customWidth="1"/>
    <col min="11778" max="11778" width="65.42578125" style="212" customWidth="1"/>
    <col min="11779" max="11779" width="15.140625" style="212" customWidth="1"/>
    <col min="11780" max="11780" width="15" style="212" customWidth="1"/>
    <col min="11781" max="11781" width="18.7109375" style="212" customWidth="1"/>
    <col min="11782" max="11782" width="11.7109375" style="212" customWidth="1"/>
    <col min="11783" max="11783" width="11.42578125" style="212" bestFit="1" customWidth="1"/>
    <col min="11784" max="11785" width="10.5703125" style="212" bestFit="1" customWidth="1"/>
    <col min="11786" max="12032" width="9.140625" style="212"/>
    <col min="12033" max="12033" width="6" style="212" customWidth="1"/>
    <col min="12034" max="12034" width="65.42578125" style="212" customWidth="1"/>
    <col min="12035" max="12035" width="15.140625" style="212" customWidth="1"/>
    <col min="12036" max="12036" width="15" style="212" customWidth="1"/>
    <col min="12037" max="12037" width="18.7109375" style="212" customWidth="1"/>
    <col min="12038" max="12038" width="11.7109375" style="212" customWidth="1"/>
    <col min="12039" max="12039" width="11.42578125" style="212" bestFit="1" customWidth="1"/>
    <col min="12040" max="12041" width="10.5703125" style="212" bestFit="1" customWidth="1"/>
    <col min="12042" max="12288" width="9.140625" style="212"/>
    <col min="12289" max="12289" width="6" style="212" customWidth="1"/>
    <col min="12290" max="12290" width="65.42578125" style="212" customWidth="1"/>
    <col min="12291" max="12291" width="15.140625" style="212" customWidth="1"/>
    <col min="12292" max="12292" width="15" style="212" customWidth="1"/>
    <col min="12293" max="12293" width="18.7109375" style="212" customWidth="1"/>
    <col min="12294" max="12294" width="11.7109375" style="212" customWidth="1"/>
    <col min="12295" max="12295" width="11.42578125" style="212" bestFit="1" customWidth="1"/>
    <col min="12296" max="12297" width="10.5703125" style="212" bestFit="1" customWidth="1"/>
    <col min="12298" max="12544" width="9.140625" style="212"/>
    <col min="12545" max="12545" width="6" style="212" customWidth="1"/>
    <col min="12546" max="12546" width="65.42578125" style="212" customWidth="1"/>
    <col min="12547" max="12547" width="15.140625" style="212" customWidth="1"/>
    <col min="12548" max="12548" width="15" style="212" customWidth="1"/>
    <col min="12549" max="12549" width="18.7109375" style="212" customWidth="1"/>
    <col min="12550" max="12550" width="11.7109375" style="212" customWidth="1"/>
    <col min="12551" max="12551" width="11.42578125" style="212" bestFit="1" customWidth="1"/>
    <col min="12552" max="12553" width="10.5703125" style="212" bestFit="1" customWidth="1"/>
    <col min="12554" max="12800" width="9.140625" style="212"/>
    <col min="12801" max="12801" width="6" style="212" customWidth="1"/>
    <col min="12802" max="12802" width="65.42578125" style="212" customWidth="1"/>
    <col min="12803" max="12803" width="15.140625" style="212" customWidth="1"/>
    <col min="12804" max="12804" width="15" style="212" customWidth="1"/>
    <col min="12805" max="12805" width="18.7109375" style="212" customWidth="1"/>
    <col min="12806" max="12806" width="11.7109375" style="212" customWidth="1"/>
    <col min="12807" max="12807" width="11.42578125" style="212" bestFit="1" customWidth="1"/>
    <col min="12808" max="12809" width="10.5703125" style="212" bestFit="1" customWidth="1"/>
    <col min="12810" max="13056" width="9.140625" style="212"/>
    <col min="13057" max="13057" width="6" style="212" customWidth="1"/>
    <col min="13058" max="13058" width="65.42578125" style="212" customWidth="1"/>
    <col min="13059" max="13059" width="15.140625" style="212" customWidth="1"/>
    <col min="13060" max="13060" width="15" style="212" customWidth="1"/>
    <col min="13061" max="13061" width="18.7109375" style="212" customWidth="1"/>
    <col min="13062" max="13062" width="11.7109375" style="212" customWidth="1"/>
    <col min="13063" max="13063" width="11.42578125" style="212" bestFit="1" customWidth="1"/>
    <col min="13064" max="13065" width="10.5703125" style="212" bestFit="1" customWidth="1"/>
    <col min="13066" max="13312" width="9.140625" style="212"/>
    <col min="13313" max="13313" width="6" style="212" customWidth="1"/>
    <col min="13314" max="13314" width="65.42578125" style="212" customWidth="1"/>
    <col min="13315" max="13315" width="15.140625" style="212" customWidth="1"/>
    <col min="13316" max="13316" width="15" style="212" customWidth="1"/>
    <col min="13317" max="13317" width="18.7109375" style="212" customWidth="1"/>
    <col min="13318" max="13318" width="11.7109375" style="212" customWidth="1"/>
    <col min="13319" max="13319" width="11.42578125" style="212" bestFit="1" customWidth="1"/>
    <col min="13320" max="13321" width="10.5703125" style="212" bestFit="1" customWidth="1"/>
    <col min="13322" max="13568" width="9.140625" style="212"/>
    <col min="13569" max="13569" width="6" style="212" customWidth="1"/>
    <col min="13570" max="13570" width="65.42578125" style="212" customWidth="1"/>
    <col min="13571" max="13571" width="15.140625" style="212" customWidth="1"/>
    <col min="13572" max="13572" width="15" style="212" customWidth="1"/>
    <col min="13573" max="13573" width="18.7109375" style="212" customWidth="1"/>
    <col min="13574" max="13574" width="11.7109375" style="212" customWidth="1"/>
    <col min="13575" max="13575" width="11.42578125" style="212" bestFit="1" customWidth="1"/>
    <col min="13576" max="13577" width="10.5703125" style="212" bestFit="1" customWidth="1"/>
    <col min="13578" max="13824" width="9.140625" style="212"/>
    <col min="13825" max="13825" width="6" style="212" customWidth="1"/>
    <col min="13826" max="13826" width="65.42578125" style="212" customWidth="1"/>
    <col min="13827" max="13827" width="15.140625" style="212" customWidth="1"/>
    <col min="13828" max="13828" width="15" style="212" customWidth="1"/>
    <col min="13829" max="13829" width="18.7109375" style="212" customWidth="1"/>
    <col min="13830" max="13830" width="11.7109375" style="212" customWidth="1"/>
    <col min="13831" max="13831" width="11.42578125" style="212" bestFit="1" customWidth="1"/>
    <col min="13832" max="13833" width="10.5703125" style="212" bestFit="1" customWidth="1"/>
    <col min="13834" max="14080" width="9.140625" style="212"/>
    <col min="14081" max="14081" width="6" style="212" customWidth="1"/>
    <col min="14082" max="14082" width="65.42578125" style="212" customWidth="1"/>
    <col min="14083" max="14083" width="15.140625" style="212" customWidth="1"/>
    <col min="14084" max="14084" width="15" style="212" customWidth="1"/>
    <col min="14085" max="14085" width="18.7109375" style="212" customWidth="1"/>
    <col min="14086" max="14086" width="11.7109375" style="212" customWidth="1"/>
    <col min="14087" max="14087" width="11.42578125" style="212" bestFit="1" customWidth="1"/>
    <col min="14088" max="14089" width="10.5703125" style="212" bestFit="1" customWidth="1"/>
    <col min="14090" max="14336" width="9.140625" style="212"/>
    <col min="14337" max="14337" width="6" style="212" customWidth="1"/>
    <col min="14338" max="14338" width="65.42578125" style="212" customWidth="1"/>
    <col min="14339" max="14339" width="15.140625" style="212" customWidth="1"/>
    <col min="14340" max="14340" width="15" style="212" customWidth="1"/>
    <col min="14341" max="14341" width="18.7109375" style="212" customWidth="1"/>
    <col min="14342" max="14342" width="11.7109375" style="212" customWidth="1"/>
    <col min="14343" max="14343" width="11.42578125" style="212" bestFit="1" customWidth="1"/>
    <col min="14344" max="14345" width="10.5703125" style="212" bestFit="1" customWidth="1"/>
    <col min="14346" max="14592" width="9.140625" style="212"/>
    <col min="14593" max="14593" width="6" style="212" customWidth="1"/>
    <col min="14594" max="14594" width="65.42578125" style="212" customWidth="1"/>
    <col min="14595" max="14595" width="15.140625" style="212" customWidth="1"/>
    <col min="14596" max="14596" width="15" style="212" customWidth="1"/>
    <col min="14597" max="14597" width="18.7109375" style="212" customWidth="1"/>
    <col min="14598" max="14598" width="11.7109375" style="212" customWidth="1"/>
    <col min="14599" max="14599" width="11.42578125" style="212" bestFit="1" customWidth="1"/>
    <col min="14600" max="14601" width="10.5703125" style="212" bestFit="1" customWidth="1"/>
    <col min="14602" max="14848" width="9.140625" style="212"/>
    <col min="14849" max="14849" width="6" style="212" customWidth="1"/>
    <col min="14850" max="14850" width="65.42578125" style="212" customWidth="1"/>
    <col min="14851" max="14851" width="15.140625" style="212" customWidth="1"/>
    <col min="14852" max="14852" width="15" style="212" customWidth="1"/>
    <col min="14853" max="14853" width="18.7109375" style="212" customWidth="1"/>
    <col min="14854" max="14854" width="11.7109375" style="212" customWidth="1"/>
    <col min="14855" max="14855" width="11.42578125" style="212" bestFit="1" customWidth="1"/>
    <col min="14856" max="14857" width="10.5703125" style="212" bestFit="1" customWidth="1"/>
    <col min="14858" max="15104" width="9.140625" style="212"/>
    <col min="15105" max="15105" width="6" style="212" customWidth="1"/>
    <col min="15106" max="15106" width="65.42578125" style="212" customWidth="1"/>
    <col min="15107" max="15107" width="15.140625" style="212" customWidth="1"/>
    <col min="15108" max="15108" width="15" style="212" customWidth="1"/>
    <col min="15109" max="15109" width="18.7109375" style="212" customWidth="1"/>
    <col min="15110" max="15110" width="11.7109375" style="212" customWidth="1"/>
    <col min="15111" max="15111" width="11.42578125" style="212" bestFit="1" customWidth="1"/>
    <col min="15112" max="15113" width="10.5703125" style="212" bestFit="1" customWidth="1"/>
    <col min="15114" max="15360" width="9.140625" style="212"/>
    <col min="15361" max="15361" width="6" style="212" customWidth="1"/>
    <col min="15362" max="15362" width="65.42578125" style="212" customWidth="1"/>
    <col min="15363" max="15363" width="15.140625" style="212" customWidth="1"/>
    <col min="15364" max="15364" width="15" style="212" customWidth="1"/>
    <col min="15365" max="15365" width="18.7109375" style="212" customWidth="1"/>
    <col min="15366" max="15366" width="11.7109375" style="212" customWidth="1"/>
    <col min="15367" max="15367" width="11.42578125" style="212" bestFit="1" customWidth="1"/>
    <col min="15368" max="15369" width="10.5703125" style="212" bestFit="1" customWidth="1"/>
    <col min="15370" max="15616" width="9.140625" style="212"/>
    <col min="15617" max="15617" width="6" style="212" customWidth="1"/>
    <col min="15618" max="15618" width="65.42578125" style="212" customWidth="1"/>
    <col min="15619" max="15619" width="15.140625" style="212" customWidth="1"/>
    <col min="15620" max="15620" width="15" style="212" customWidth="1"/>
    <col min="15621" max="15621" width="18.7109375" style="212" customWidth="1"/>
    <col min="15622" max="15622" width="11.7109375" style="212" customWidth="1"/>
    <col min="15623" max="15623" width="11.42578125" style="212" bestFit="1" customWidth="1"/>
    <col min="15624" max="15625" width="10.5703125" style="212" bestFit="1" customWidth="1"/>
    <col min="15626" max="15872" width="9.140625" style="212"/>
    <col min="15873" max="15873" width="6" style="212" customWidth="1"/>
    <col min="15874" max="15874" width="65.42578125" style="212" customWidth="1"/>
    <col min="15875" max="15875" width="15.140625" style="212" customWidth="1"/>
    <col min="15876" max="15876" width="15" style="212" customWidth="1"/>
    <col min="15877" max="15877" width="18.7109375" style="212" customWidth="1"/>
    <col min="15878" max="15878" width="11.7109375" style="212" customWidth="1"/>
    <col min="15879" max="15879" width="11.42578125" style="212" bestFit="1" customWidth="1"/>
    <col min="15880" max="15881" width="10.5703125" style="212" bestFit="1" customWidth="1"/>
    <col min="15882" max="16128" width="9.140625" style="212"/>
    <col min="16129" max="16129" width="6" style="212" customWidth="1"/>
    <col min="16130" max="16130" width="65.42578125" style="212" customWidth="1"/>
    <col min="16131" max="16131" width="15.140625" style="212" customWidth="1"/>
    <col min="16132" max="16132" width="15" style="212" customWidth="1"/>
    <col min="16133" max="16133" width="18.7109375" style="212" customWidth="1"/>
    <col min="16134" max="16134" width="11.7109375" style="212" customWidth="1"/>
    <col min="16135" max="16135" width="11.42578125" style="212" bestFit="1" customWidth="1"/>
    <col min="16136" max="16137" width="10.5703125" style="212" bestFit="1" customWidth="1"/>
    <col min="16138" max="16384" width="9.140625" style="212"/>
  </cols>
  <sheetData>
    <row r="1" spans="1:7" ht="18.75">
      <c r="A1" s="209"/>
      <c r="B1" s="210"/>
      <c r="C1" s="211"/>
      <c r="D1" s="248"/>
      <c r="E1" s="1022" t="s">
        <v>691</v>
      </c>
      <c r="F1" s="1022"/>
    </row>
    <row r="2" spans="1:7" ht="21" customHeight="1">
      <c r="A2" s="1023" t="s">
        <v>692</v>
      </c>
      <c r="B2" s="1023"/>
      <c r="C2" s="1023"/>
      <c r="D2" s="1023"/>
      <c r="E2" s="1023"/>
      <c r="F2" s="1023"/>
    </row>
    <row r="3" spans="1:7" ht="21" customHeight="1">
      <c r="A3" s="1024" t="s">
        <v>693</v>
      </c>
      <c r="B3" s="1024"/>
      <c r="C3" s="1024"/>
      <c r="D3" s="1024"/>
      <c r="E3" s="1024"/>
      <c r="F3" s="1024"/>
    </row>
    <row r="4" spans="1:7" ht="31.5" customHeight="1">
      <c r="A4" s="235"/>
      <c r="B4" s="512"/>
      <c r="C4" s="208"/>
      <c r="D4" s="1043" t="s">
        <v>2</v>
      </c>
      <c r="E4" s="1043"/>
      <c r="F4" s="1043"/>
    </row>
    <row r="5" spans="1:7" s="213" customFormat="1" ht="19.5" customHeight="1">
      <c r="A5" s="1044" t="s">
        <v>3</v>
      </c>
      <c r="B5" s="1044" t="s">
        <v>526</v>
      </c>
      <c r="C5" s="1042" t="s">
        <v>5</v>
      </c>
      <c r="D5" s="1042" t="s">
        <v>6</v>
      </c>
      <c r="E5" s="1044" t="s">
        <v>7</v>
      </c>
      <c r="F5" s="1044"/>
    </row>
    <row r="6" spans="1:7" s="213" customFormat="1" ht="19.5" customHeight="1">
      <c r="A6" s="1044"/>
      <c r="B6" s="1044"/>
      <c r="C6" s="1042"/>
      <c r="D6" s="1042"/>
      <c r="E6" s="1042" t="s">
        <v>8</v>
      </c>
      <c r="F6" s="1042" t="s">
        <v>9</v>
      </c>
    </row>
    <row r="7" spans="1:7" s="213" customFormat="1" ht="19.5" customHeight="1">
      <c r="A7" s="1044"/>
      <c r="B7" s="1044"/>
      <c r="C7" s="1042"/>
      <c r="D7" s="1042"/>
      <c r="E7" s="1042"/>
      <c r="F7" s="1042"/>
    </row>
    <row r="8" spans="1:7" s="214" customFormat="1" ht="17.25" customHeight="1">
      <c r="A8" s="513" t="s">
        <v>10</v>
      </c>
      <c r="B8" s="513" t="s">
        <v>11</v>
      </c>
      <c r="C8" s="513">
        <v>1</v>
      </c>
      <c r="D8" s="513">
        <f>C8+1</f>
        <v>2</v>
      </c>
      <c r="E8" s="513" t="s">
        <v>12</v>
      </c>
      <c r="F8" s="513" t="s">
        <v>13</v>
      </c>
    </row>
    <row r="9" spans="1:7" s="208" customFormat="1" ht="24" customHeight="1">
      <c r="A9" s="153"/>
      <c r="B9" s="154" t="s">
        <v>694</v>
      </c>
      <c r="C9" s="514">
        <f>C10+C33+C104+C105</f>
        <v>10702623.72783</v>
      </c>
      <c r="D9" s="514">
        <f>D10+D33+D104+D105</f>
        <v>16719621.000000002</v>
      </c>
      <c r="E9" s="514">
        <f>E10+E33+E104+E105</f>
        <v>6016997.2721700007</v>
      </c>
      <c r="F9" s="252">
        <f>D9/C9</f>
        <v>1.5621983380135118</v>
      </c>
      <c r="G9" s="215">
        <f>D9-C9-E9</f>
        <v>0</v>
      </c>
    </row>
    <row r="10" spans="1:7" s="208" customFormat="1" ht="52.5" customHeight="1">
      <c r="A10" s="153" t="s">
        <v>10</v>
      </c>
      <c r="B10" s="154" t="s">
        <v>695</v>
      </c>
      <c r="C10" s="514">
        <f>C11+C32</f>
        <v>8361291</v>
      </c>
      <c r="D10" s="514">
        <f>D11+D32</f>
        <v>8263162.4000000004</v>
      </c>
      <c r="E10" s="515">
        <f t="shared" ref="E10:E41" si="0">D10-C10</f>
        <v>-98128.599999999627</v>
      </c>
      <c r="F10" s="252">
        <f t="shared" ref="F10:F66" si="1">D10/C10</f>
        <v>0.98826394153725783</v>
      </c>
    </row>
    <row r="11" spans="1:7" s="208" customFormat="1" ht="24" customHeight="1">
      <c r="A11" s="153" t="s">
        <v>355</v>
      </c>
      <c r="B11" s="154" t="s">
        <v>696</v>
      </c>
      <c r="C11" s="514">
        <f>C12+C22+C26+C27+C28+C29+C30+C31</f>
        <v>8292791</v>
      </c>
      <c r="D11" s="514">
        <f>D12+D22+D26+D27+D28+D29+D30+D31</f>
        <v>8254505</v>
      </c>
      <c r="E11" s="515">
        <f t="shared" si="0"/>
        <v>-38286</v>
      </c>
      <c r="F11" s="252">
        <f t="shared" si="1"/>
        <v>0.99538321899104898</v>
      </c>
    </row>
    <row r="12" spans="1:7" s="208" customFormat="1" ht="24" customHeight="1">
      <c r="A12" s="249" t="s">
        <v>15</v>
      </c>
      <c r="B12" s="238" t="s">
        <v>99</v>
      </c>
      <c r="C12" s="514">
        <f>C13+C20</f>
        <v>1027220</v>
      </c>
      <c r="D12" s="514">
        <f>D13+D20</f>
        <v>1442000</v>
      </c>
      <c r="E12" s="515">
        <f t="shared" si="0"/>
        <v>414780</v>
      </c>
      <c r="F12" s="252">
        <f t="shared" si="1"/>
        <v>1.4037888670391931</v>
      </c>
    </row>
    <row r="13" spans="1:7" s="219" customFormat="1" ht="24" customHeight="1">
      <c r="A13" s="250">
        <v>1</v>
      </c>
      <c r="B13" s="227" t="s">
        <v>47</v>
      </c>
      <c r="C13" s="516">
        <v>1027220</v>
      </c>
      <c r="D13" s="516">
        <f>'PL12'!D21</f>
        <v>1442000</v>
      </c>
      <c r="E13" s="517">
        <f t="shared" si="0"/>
        <v>414780</v>
      </c>
      <c r="F13" s="251">
        <f t="shared" si="1"/>
        <v>1.4037888670391931</v>
      </c>
    </row>
    <row r="14" spans="1:7" s="219" customFormat="1" ht="24" customHeight="1">
      <c r="A14" s="518"/>
      <c r="B14" s="227" t="s">
        <v>697</v>
      </c>
      <c r="C14" s="516"/>
      <c r="D14" s="516"/>
      <c r="E14" s="517">
        <f t="shared" si="0"/>
        <v>0</v>
      </c>
      <c r="F14" s="251"/>
    </row>
    <row r="15" spans="1:7" s="219" customFormat="1" ht="24" customHeight="1">
      <c r="A15" s="518" t="s">
        <v>19</v>
      </c>
      <c r="B15" s="232" t="s">
        <v>48</v>
      </c>
      <c r="C15" s="516"/>
      <c r="D15" s="516"/>
      <c r="E15" s="517">
        <f t="shared" si="0"/>
        <v>0</v>
      </c>
      <c r="F15" s="251"/>
    </row>
    <row r="16" spans="1:7" s="219" customFormat="1" ht="24" customHeight="1">
      <c r="A16" s="155" t="s">
        <v>19</v>
      </c>
      <c r="B16" s="232" t="s">
        <v>49</v>
      </c>
      <c r="C16" s="516"/>
      <c r="D16" s="516"/>
      <c r="E16" s="517">
        <f t="shared" si="0"/>
        <v>0</v>
      </c>
      <c r="F16" s="251"/>
    </row>
    <row r="17" spans="1:6" s="219" customFormat="1" ht="24" customHeight="1">
      <c r="A17" s="519"/>
      <c r="B17" s="227" t="s">
        <v>698</v>
      </c>
      <c r="C17" s="516"/>
      <c r="D17" s="516"/>
      <c r="E17" s="517">
        <f t="shared" si="0"/>
        <v>0</v>
      </c>
      <c r="F17" s="251"/>
    </row>
    <row r="18" spans="1:6" s="219" customFormat="1" ht="24" customHeight="1">
      <c r="A18" s="519" t="s">
        <v>19</v>
      </c>
      <c r="B18" s="232" t="s">
        <v>360</v>
      </c>
      <c r="C18" s="516">
        <v>400000</v>
      </c>
      <c r="D18" s="516">
        <f>'PL13'!F49</f>
        <v>400000</v>
      </c>
      <c r="E18" s="517">
        <f t="shared" si="0"/>
        <v>0</v>
      </c>
      <c r="F18" s="251">
        <f t="shared" si="1"/>
        <v>1</v>
      </c>
    </row>
    <row r="19" spans="1:6" s="208" customFormat="1" ht="24.75" customHeight="1">
      <c r="A19" s="155" t="s">
        <v>19</v>
      </c>
      <c r="B19" s="520" t="s">
        <v>363</v>
      </c>
      <c r="C19" s="516">
        <v>80000</v>
      </c>
      <c r="D19" s="516">
        <f>'PL13'!F51</f>
        <v>117000</v>
      </c>
      <c r="E19" s="517">
        <f t="shared" si="0"/>
        <v>37000</v>
      </c>
      <c r="F19" s="251">
        <f t="shared" si="1"/>
        <v>1.4624999999999999</v>
      </c>
    </row>
    <row r="20" spans="1:6" s="208" customFormat="1" ht="74.25" customHeight="1">
      <c r="A20" s="155">
        <v>2</v>
      </c>
      <c r="B20" s="156" t="s">
        <v>699</v>
      </c>
      <c r="C20" s="516">
        <v>0</v>
      </c>
      <c r="D20" s="521"/>
      <c r="E20" s="517">
        <f t="shared" si="0"/>
        <v>0</v>
      </c>
      <c r="F20" s="251"/>
    </row>
    <row r="21" spans="1:6" s="208" customFormat="1" ht="24" customHeight="1">
      <c r="A21" s="250">
        <v>3</v>
      </c>
      <c r="B21" s="227" t="s">
        <v>62</v>
      </c>
      <c r="C21" s="516">
        <v>0</v>
      </c>
      <c r="D21" s="521"/>
      <c r="E21" s="517">
        <f t="shared" si="0"/>
        <v>0</v>
      </c>
      <c r="F21" s="251"/>
    </row>
    <row r="22" spans="1:6" s="208" customFormat="1" ht="24" customHeight="1">
      <c r="A22" s="249" t="s">
        <v>25</v>
      </c>
      <c r="B22" s="238" t="s">
        <v>63</v>
      </c>
      <c r="C22" s="514">
        <v>5777927</v>
      </c>
      <c r="D22" s="514">
        <f>'PL12'!D22</f>
        <v>6452000</v>
      </c>
      <c r="E22" s="515">
        <f t="shared" si="0"/>
        <v>674073</v>
      </c>
      <c r="F22" s="252">
        <f t="shared" si="1"/>
        <v>1.1166634677108243</v>
      </c>
    </row>
    <row r="23" spans="1:6" s="208" customFormat="1" ht="24" customHeight="1">
      <c r="A23" s="155"/>
      <c r="B23" s="522" t="s">
        <v>365</v>
      </c>
      <c r="C23" s="516"/>
      <c r="D23" s="521"/>
      <c r="E23" s="517">
        <f t="shared" si="0"/>
        <v>0</v>
      </c>
      <c r="F23" s="251"/>
    </row>
    <row r="24" spans="1:6" s="208" customFormat="1" ht="24" customHeight="1">
      <c r="A24" s="155">
        <v>1</v>
      </c>
      <c r="B24" s="522" t="s">
        <v>48</v>
      </c>
      <c r="C24" s="516">
        <v>2653298</v>
      </c>
      <c r="D24" s="516">
        <v>2900000</v>
      </c>
      <c r="E24" s="517">
        <f t="shared" si="0"/>
        <v>246702</v>
      </c>
      <c r="F24" s="251">
        <f t="shared" si="1"/>
        <v>1.0929793788711257</v>
      </c>
    </row>
    <row r="25" spans="1:6" s="208" customFormat="1" ht="24" customHeight="1">
      <c r="A25" s="250">
        <v>2</v>
      </c>
      <c r="B25" s="232" t="s">
        <v>49</v>
      </c>
      <c r="C25" s="516">
        <v>17641</v>
      </c>
      <c r="D25" s="516">
        <f>8104+1600+2000</f>
        <v>11704</v>
      </c>
      <c r="E25" s="517">
        <f t="shared" si="0"/>
        <v>-5937</v>
      </c>
      <c r="F25" s="251">
        <f t="shared" si="1"/>
        <v>0.66345445269542547</v>
      </c>
    </row>
    <row r="26" spans="1:6" s="208" customFormat="1" ht="35.25" customHeight="1">
      <c r="A26" s="153" t="s">
        <v>32</v>
      </c>
      <c r="B26" s="154" t="s">
        <v>700</v>
      </c>
      <c r="C26" s="516">
        <v>2100</v>
      </c>
      <c r="D26" s="516">
        <f>'PL12'!D23</f>
        <v>10706</v>
      </c>
      <c r="E26" s="517">
        <f t="shared" si="0"/>
        <v>8606</v>
      </c>
      <c r="F26" s="251">
        <f t="shared" si="1"/>
        <v>5.0980952380952385</v>
      </c>
    </row>
    <row r="27" spans="1:6" s="208" customFormat="1" ht="24" customHeight="1">
      <c r="A27" s="153" t="s">
        <v>67</v>
      </c>
      <c r="B27" s="154" t="s">
        <v>701</v>
      </c>
      <c r="C27" s="516">
        <v>1000</v>
      </c>
      <c r="D27" s="516">
        <f>'PL12'!D24</f>
        <v>1000</v>
      </c>
      <c r="E27" s="517">
        <f t="shared" si="0"/>
        <v>0</v>
      </c>
      <c r="F27" s="251">
        <f t="shared" si="1"/>
        <v>1</v>
      </c>
    </row>
    <row r="28" spans="1:6" s="208" customFormat="1" ht="24" customHeight="1">
      <c r="A28" s="153" t="s">
        <v>69</v>
      </c>
      <c r="B28" s="154" t="s">
        <v>370</v>
      </c>
      <c r="C28" s="516">
        <v>165856</v>
      </c>
      <c r="D28" s="521">
        <f>'PL12'!D25</f>
        <v>0</v>
      </c>
      <c r="E28" s="517">
        <f t="shared" si="0"/>
        <v>-165856</v>
      </c>
      <c r="F28" s="251">
        <f t="shared" si="1"/>
        <v>0</v>
      </c>
    </row>
    <row r="29" spans="1:6" s="208" customFormat="1" ht="24" customHeight="1">
      <c r="A29" s="153" t="s">
        <v>71</v>
      </c>
      <c r="B29" s="523" t="s">
        <v>535</v>
      </c>
      <c r="C29" s="514">
        <v>0</v>
      </c>
      <c r="D29" s="524"/>
      <c r="E29" s="517">
        <f t="shared" si="0"/>
        <v>0</v>
      </c>
      <c r="F29" s="251"/>
    </row>
    <row r="30" spans="1:6" s="208" customFormat="1" ht="127.5" customHeight="1">
      <c r="A30" s="153" t="s">
        <v>306</v>
      </c>
      <c r="B30" s="154" t="s">
        <v>702</v>
      </c>
      <c r="C30" s="514">
        <v>1318688</v>
      </c>
      <c r="D30" s="524">
        <f>'PL12'!D27</f>
        <v>333799</v>
      </c>
      <c r="E30" s="515">
        <f t="shared" si="0"/>
        <v>-984889</v>
      </c>
      <c r="F30" s="252">
        <f t="shared" si="1"/>
        <v>0.2531296258098959</v>
      </c>
    </row>
    <row r="31" spans="1:6" s="219" customFormat="1" ht="36.75" customHeight="1">
      <c r="A31" s="249" t="s">
        <v>703</v>
      </c>
      <c r="B31" s="238" t="s">
        <v>559</v>
      </c>
      <c r="C31" s="514"/>
      <c r="D31" s="514">
        <f>'PL12'!D28</f>
        <v>15000</v>
      </c>
      <c r="E31" s="515"/>
      <c r="F31" s="252"/>
    </row>
    <row r="32" spans="1:6" s="208" customFormat="1" ht="24" customHeight="1">
      <c r="A32" s="153" t="s">
        <v>375</v>
      </c>
      <c r="B32" s="154" t="s">
        <v>704</v>
      </c>
      <c r="C32" s="514">
        <v>68500</v>
      </c>
      <c r="D32" s="524">
        <f>'PL12'!D29</f>
        <v>8657.4</v>
      </c>
      <c r="E32" s="515">
        <f t="shared" si="0"/>
        <v>-59842.6</v>
      </c>
      <c r="F32" s="252">
        <f t="shared" si="1"/>
        <v>0.126385401459854</v>
      </c>
    </row>
    <row r="33" spans="1:9" s="208" customFormat="1" ht="24" customHeight="1">
      <c r="A33" s="153" t="s">
        <v>11</v>
      </c>
      <c r="B33" s="238" t="s">
        <v>377</v>
      </c>
      <c r="C33" s="514">
        <f>C34+C38</f>
        <v>2341332.7278300002</v>
      </c>
      <c r="D33" s="514">
        <f>D34+D38</f>
        <v>4290837.4000000004</v>
      </c>
      <c r="E33" s="515">
        <f t="shared" si="0"/>
        <v>1949504.6721700002</v>
      </c>
      <c r="F33" s="252">
        <f t="shared" si="1"/>
        <v>1.8326474272526165</v>
      </c>
    </row>
    <row r="34" spans="1:9" s="217" customFormat="1" ht="24" customHeight="1">
      <c r="A34" s="249" t="s">
        <v>15</v>
      </c>
      <c r="B34" s="238" t="s">
        <v>77</v>
      </c>
      <c r="C34" s="514">
        <f>C35+C36+C37</f>
        <v>1353958</v>
      </c>
      <c r="D34" s="514">
        <f>D35+D36+D37</f>
        <v>832473.4</v>
      </c>
      <c r="E34" s="515">
        <f t="shared" si="0"/>
        <v>-521484.6</v>
      </c>
      <c r="F34" s="252"/>
    </row>
    <row r="35" spans="1:9" s="208" customFormat="1" ht="24" customHeight="1">
      <c r="A35" s="250">
        <v>1</v>
      </c>
      <c r="B35" s="227" t="s">
        <v>378</v>
      </c>
      <c r="C35" s="516">
        <v>160530</v>
      </c>
      <c r="D35" s="525">
        <f>25275+100000</f>
        <v>125275</v>
      </c>
      <c r="E35" s="526">
        <f t="shared" si="0"/>
        <v>-35255</v>
      </c>
      <c r="F35" s="254"/>
    </row>
    <row r="36" spans="1:9" s="208" customFormat="1" ht="24" customHeight="1">
      <c r="A36" s="250">
        <v>2</v>
      </c>
      <c r="B36" s="227" t="s">
        <v>379</v>
      </c>
      <c r="C36" s="516">
        <v>325739</v>
      </c>
      <c r="D36" s="525">
        <f>23995+172000</f>
        <v>195995</v>
      </c>
      <c r="E36" s="526">
        <f t="shared" si="0"/>
        <v>-129744</v>
      </c>
      <c r="F36" s="252"/>
    </row>
    <row r="37" spans="1:9" s="208" customFormat="1" ht="37.5">
      <c r="A37" s="250">
        <v>3</v>
      </c>
      <c r="B37" s="227" t="s">
        <v>380</v>
      </c>
      <c r="C37" s="516">
        <v>867689</v>
      </c>
      <c r="D37" s="525">
        <f>61003+450200.4</f>
        <v>511203.4</v>
      </c>
      <c r="E37" s="526">
        <f t="shared" si="0"/>
        <v>-356485.6</v>
      </c>
      <c r="F37" s="252"/>
    </row>
    <row r="38" spans="1:9" s="217" customFormat="1" ht="24" customHeight="1">
      <c r="A38" s="249" t="s">
        <v>25</v>
      </c>
      <c r="B38" s="238" t="s">
        <v>381</v>
      </c>
      <c r="C38" s="514">
        <f>C39+C40</f>
        <v>987374.72782999999</v>
      </c>
      <c r="D38" s="514">
        <f>D39+D40</f>
        <v>3458364</v>
      </c>
      <c r="E38" s="515">
        <f t="shared" si="0"/>
        <v>2470989.2721699998</v>
      </c>
      <c r="F38" s="252">
        <f t="shared" si="1"/>
        <v>3.5025850900605993</v>
      </c>
      <c r="G38" s="216"/>
      <c r="H38" s="216"/>
      <c r="I38" s="216"/>
    </row>
    <row r="39" spans="1:9" s="217" customFormat="1" ht="50.25" customHeight="1">
      <c r="A39" s="249" t="s">
        <v>382</v>
      </c>
      <c r="B39" s="238" t="s">
        <v>558</v>
      </c>
      <c r="C39" s="514">
        <v>823220</v>
      </c>
      <c r="D39" s="514">
        <f>'PL15'!D40</f>
        <v>3087727</v>
      </c>
      <c r="E39" s="515">
        <f t="shared" si="0"/>
        <v>2264507</v>
      </c>
      <c r="F39" s="252">
        <f t="shared" si="1"/>
        <v>3.7507920118558831</v>
      </c>
    </row>
    <row r="40" spans="1:9" s="217" customFormat="1" ht="24" customHeight="1">
      <c r="A40" s="249" t="s">
        <v>385</v>
      </c>
      <c r="B40" s="238" t="s">
        <v>705</v>
      </c>
      <c r="C40" s="514">
        <f>C41+C42</f>
        <v>164154.72782999999</v>
      </c>
      <c r="D40" s="514">
        <f>D41+D42</f>
        <v>370637</v>
      </c>
      <c r="E40" s="515">
        <f t="shared" si="0"/>
        <v>206482.27217000001</v>
      </c>
      <c r="F40" s="252">
        <f t="shared" si="1"/>
        <v>2.2578515093627689</v>
      </c>
    </row>
    <row r="41" spans="1:9" s="217" customFormat="1" ht="24" customHeight="1">
      <c r="A41" s="249">
        <v>1</v>
      </c>
      <c r="B41" s="238" t="s">
        <v>706</v>
      </c>
      <c r="C41" s="514"/>
      <c r="D41" s="514"/>
      <c r="E41" s="515">
        <f t="shared" si="0"/>
        <v>0</v>
      </c>
      <c r="F41" s="252"/>
    </row>
    <row r="42" spans="1:9" s="217" customFormat="1" ht="24" customHeight="1">
      <c r="A42" s="249">
        <v>2</v>
      </c>
      <c r="B42" s="238" t="s">
        <v>384</v>
      </c>
      <c r="C42" s="514">
        <f>C43+C60+C64+C65+C69+C83+C86+C101+C102+C103</f>
        <v>164154.72782999999</v>
      </c>
      <c r="D42" s="514">
        <f>D43+D60+D64+D65+D69+D83+D86+D101+D102+D103</f>
        <v>370637</v>
      </c>
      <c r="E42" s="514">
        <f>E43+E60+E64+E65+E69+E83+E86+E101+E102+E103</f>
        <v>206482.27217000001</v>
      </c>
      <c r="F42" s="252">
        <f t="shared" si="1"/>
        <v>2.2578515093627689</v>
      </c>
    </row>
    <row r="43" spans="1:9" s="208" customFormat="1" ht="37.5">
      <c r="A43" s="250" t="s">
        <v>143</v>
      </c>
      <c r="B43" s="527" t="s">
        <v>387</v>
      </c>
      <c r="C43" s="253">
        <f>C44+C59</f>
        <v>3187</v>
      </c>
      <c r="D43" s="253">
        <f>D44+D59</f>
        <v>3187</v>
      </c>
      <c r="E43" s="253">
        <f>E44+E59</f>
        <v>0</v>
      </c>
      <c r="F43" s="254">
        <f t="shared" si="1"/>
        <v>1</v>
      </c>
    </row>
    <row r="44" spans="1:9" s="208" customFormat="1" ht="18.75">
      <c r="A44" s="250" t="s">
        <v>388</v>
      </c>
      <c r="B44" s="227" t="s">
        <v>389</v>
      </c>
      <c r="C44" s="253">
        <f>SUM(C45:C58)</f>
        <v>2103</v>
      </c>
      <c r="D44" s="253">
        <f>SUM(D45:D58)</f>
        <v>2103</v>
      </c>
      <c r="E44" s="253">
        <f>SUM(E45:E58)</f>
        <v>0</v>
      </c>
      <c r="F44" s="254">
        <f t="shared" si="1"/>
        <v>1</v>
      </c>
    </row>
    <row r="45" spans="1:9" s="208" customFormat="1" ht="18.75">
      <c r="A45" s="250" t="s">
        <v>19</v>
      </c>
      <c r="B45" s="227" t="s">
        <v>390</v>
      </c>
      <c r="C45" s="253">
        <v>1051</v>
      </c>
      <c r="D45" s="516">
        <f>C45</f>
        <v>1051</v>
      </c>
      <c r="E45" s="526">
        <f t="shared" ref="E45:E66" si="2">D45-C45</f>
        <v>0</v>
      </c>
      <c r="F45" s="254">
        <f t="shared" si="1"/>
        <v>1</v>
      </c>
    </row>
    <row r="46" spans="1:9" s="208" customFormat="1" ht="18.75">
      <c r="A46" s="250" t="s">
        <v>19</v>
      </c>
      <c r="B46" s="227" t="s">
        <v>391</v>
      </c>
      <c r="C46" s="253">
        <v>526</v>
      </c>
      <c r="D46" s="516">
        <f t="shared" ref="D46:D59" si="3">C46</f>
        <v>526</v>
      </c>
      <c r="E46" s="526">
        <f t="shared" si="2"/>
        <v>0</v>
      </c>
      <c r="F46" s="254">
        <f t="shared" si="1"/>
        <v>1</v>
      </c>
    </row>
    <row r="47" spans="1:9" s="208" customFormat="1" ht="18.75">
      <c r="A47" s="250" t="s">
        <v>19</v>
      </c>
      <c r="B47" s="227" t="s">
        <v>429</v>
      </c>
      <c r="C47" s="253">
        <v>40</v>
      </c>
      <c r="D47" s="516">
        <f t="shared" si="3"/>
        <v>40</v>
      </c>
      <c r="E47" s="526">
        <f t="shared" si="2"/>
        <v>0</v>
      </c>
      <c r="F47" s="254">
        <f t="shared" si="1"/>
        <v>1</v>
      </c>
    </row>
    <row r="48" spans="1:9" s="208" customFormat="1" ht="18.75" hidden="1">
      <c r="A48" s="250" t="s">
        <v>19</v>
      </c>
      <c r="B48" s="227" t="s">
        <v>707</v>
      </c>
      <c r="C48" s="253">
        <v>40</v>
      </c>
      <c r="D48" s="516">
        <f t="shared" si="3"/>
        <v>40</v>
      </c>
      <c r="E48" s="526">
        <f t="shared" si="2"/>
        <v>0</v>
      </c>
      <c r="F48" s="254">
        <f t="shared" si="1"/>
        <v>1</v>
      </c>
    </row>
    <row r="49" spans="1:6" s="208" customFormat="1" ht="18.75">
      <c r="A49" s="250" t="s">
        <v>19</v>
      </c>
      <c r="B49" s="227" t="s">
        <v>393</v>
      </c>
      <c r="C49" s="253">
        <v>40</v>
      </c>
      <c r="D49" s="516">
        <f t="shared" si="3"/>
        <v>40</v>
      </c>
      <c r="E49" s="526">
        <f t="shared" si="2"/>
        <v>0</v>
      </c>
      <c r="F49" s="254">
        <f t="shared" si="1"/>
        <v>1</v>
      </c>
    </row>
    <row r="50" spans="1:6" s="208" customFormat="1" ht="18.75">
      <c r="A50" s="250" t="s">
        <v>19</v>
      </c>
      <c r="B50" s="227" t="s">
        <v>394</v>
      </c>
      <c r="C50" s="253">
        <v>45</v>
      </c>
      <c r="D50" s="516">
        <f t="shared" si="3"/>
        <v>45</v>
      </c>
      <c r="E50" s="526">
        <f t="shared" si="2"/>
        <v>0</v>
      </c>
      <c r="F50" s="254">
        <f t="shared" si="1"/>
        <v>1</v>
      </c>
    </row>
    <row r="51" spans="1:6" s="208" customFormat="1" ht="18.75">
      <c r="A51" s="250" t="s">
        <v>19</v>
      </c>
      <c r="B51" s="227" t="s">
        <v>395</v>
      </c>
      <c r="C51" s="253">
        <v>100</v>
      </c>
      <c r="D51" s="516">
        <f t="shared" si="3"/>
        <v>100</v>
      </c>
      <c r="E51" s="526">
        <f t="shared" si="2"/>
        <v>0</v>
      </c>
      <c r="F51" s="254">
        <f t="shared" si="1"/>
        <v>1</v>
      </c>
    </row>
    <row r="52" spans="1:6" s="208" customFormat="1" ht="18.75">
      <c r="A52" s="250" t="s">
        <v>19</v>
      </c>
      <c r="B52" s="227" t="s">
        <v>396</v>
      </c>
      <c r="C52" s="253">
        <v>55</v>
      </c>
      <c r="D52" s="516">
        <f t="shared" si="3"/>
        <v>55</v>
      </c>
      <c r="E52" s="526">
        <f t="shared" si="2"/>
        <v>0</v>
      </c>
      <c r="F52" s="254">
        <f t="shared" si="1"/>
        <v>1</v>
      </c>
    </row>
    <row r="53" spans="1:6" s="208" customFormat="1" ht="18.75">
      <c r="A53" s="250" t="s">
        <v>19</v>
      </c>
      <c r="B53" s="227" t="s">
        <v>397</v>
      </c>
      <c r="C53" s="253">
        <v>50</v>
      </c>
      <c r="D53" s="516">
        <f t="shared" si="3"/>
        <v>50</v>
      </c>
      <c r="E53" s="526">
        <f t="shared" si="2"/>
        <v>0</v>
      </c>
      <c r="F53" s="254">
        <f t="shared" si="1"/>
        <v>1</v>
      </c>
    </row>
    <row r="54" spans="1:6" s="208" customFormat="1" ht="18.75">
      <c r="A54" s="250" t="s">
        <v>19</v>
      </c>
      <c r="B54" s="227" t="s">
        <v>398</v>
      </c>
      <c r="C54" s="253">
        <v>32</v>
      </c>
      <c r="D54" s="516">
        <f t="shared" si="3"/>
        <v>32</v>
      </c>
      <c r="E54" s="526">
        <f t="shared" si="2"/>
        <v>0</v>
      </c>
      <c r="F54" s="254">
        <f t="shared" si="1"/>
        <v>1</v>
      </c>
    </row>
    <row r="55" spans="1:6" s="208" customFormat="1" ht="18.75">
      <c r="A55" s="250" t="s">
        <v>19</v>
      </c>
      <c r="B55" s="227" t="s">
        <v>399</v>
      </c>
      <c r="C55" s="253">
        <v>32</v>
      </c>
      <c r="D55" s="516">
        <f t="shared" si="3"/>
        <v>32</v>
      </c>
      <c r="E55" s="526">
        <f t="shared" si="2"/>
        <v>0</v>
      </c>
      <c r="F55" s="254">
        <f t="shared" si="1"/>
        <v>1</v>
      </c>
    </row>
    <row r="56" spans="1:6" s="208" customFormat="1" ht="18.75">
      <c r="A56" s="250" t="s">
        <v>19</v>
      </c>
      <c r="B56" s="227" t="s">
        <v>400</v>
      </c>
      <c r="C56" s="253">
        <v>32</v>
      </c>
      <c r="D56" s="516">
        <f t="shared" si="3"/>
        <v>32</v>
      </c>
      <c r="E56" s="526">
        <f t="shared" si="2"/>
        <v>0</v>
      </c>
      <c r="F56" s="254">
        <f t="shared" si="1"/>
        <v>1</v>
      </c>
    </row>
    <row r="57" spans="1:6" s="208" customFormat="1" ht="18.75">
      <c r="A57" s="250" t="s">
        <v>19</v>
      </c>
      <c r="B57" s="227" t="s">
        <v>401</v>
      </c>
      <c r="C57" s="253">
        <v>35</v>
      </c>
      <c r="D57" s="516">
        <f t="shared" si="3"/>
        <v>35</v>
      </c>
      <c r="E57" s="526">
        <f t="shared" si="2"/>
        <v>0</v>
      </c>
      <c r="F57" s="254">
        <f t="shared" si="1"/>
        <v>1</v>
      </c>
    </row>
    <row r="58" spans="1:6" s="208" customFormat="1" ht="18.75">
      <c r="A58" s="250" t="s">
        <v>19</v>
      </c>
      <c r="B58" s="227" t="s">
        <v>708</v>
      </c>
      <c r="C58" s="253">
        <v>25</v>
      </c>
      <c r="D58" s="516">
        <f t="shared" si="3"/>
        <v>25</v>
      </c>
      <c r="E58" s="526">
        <f t="shared" si="2"/>
        <v>0</v>
      </c>
      <c r="F58" s="254">
        <f t="shared" si="1"/>
        <v>1</v>
      </c>
    </row>
    <row r="59" spans="1:6" s="208" customFormat="1" ht="18.75">
      <c r="A59" s="250" t="s">
        <v>406</v>
      </c>
      <c r="B59" s="227" t="s">
        <v>407</v>
      </c>
      <c r="C59" s="253">
        <v>1084</v>
      </c>
      <c r="D59" s="516">
        <f t="shared" si="3"/>
        <v>1084</v>
      </c>
      <c r="E59" s="526">
        <f t="shared" si="2"/>
        <v>0</v>
      </c>
      <c r="F59" s="254">
        <f t="shared" si="1"/>
        <v>1</v>
      </c>
    </row>
    <row r="60" spans="1:6" s="208" customFormat="1" ht="37.5">
      <c r="A60" s="250" t="s">
        <v>145</v>
      </c>
      <c r="B60" s="227" t="s">
        <v>408</v>
      </c>
      <c r="C60" s="253">
        <f>C61</f>
        <v>50909</v>
      </c>
      <c r="D60" s="253">
        <f t="shared" ref="D60:E60" si="4">D61</f>
        <v>50909</v>
      </c>
      <c r="E60" s="253">
        <f t="shared" si="4"/>
        <v>0</v>
      </c>
      <c r="F60" s="254">
        <f t="shared" si="1"/>
        <v>1</v>
      </c>
    </row>
    <row r="61" spans="1:6" s="208" customFormat="1" ht="37.5">
      <c r="A61" s="250" t="s">
        <v>19</v>
      </c>
      <c r="B61" s="227" t="s">
        <v>709</v>
      </c>
      <c r="C61" s="253">
        <f>SUM(C62:C63)</f>
        <v>50909</v>
      </c>
      <c r="D61" s="253">
        <f>SUM(D62:D63)</f>
        <v>50909</v>
      </c>
      <c r="E61" s="526">
        <f t="shared" si="2"/>
        <v>0</v>
      </c>
      <c r="F61" s="254">
        <f t="shared" si="1"/>
        <v>1</v>
      </c>
    </row>
    <row r="62" spans="1:6" s="208" customFormat="1" ht="60.75" customHeight="1">
      <c r="A62" s="255" t="s">
        <v>432</v>
      </c>
      <c r="B62" s="232" t="s">
        <v>409</v>
      </c>
      <c r="C62" s="528">
        <v>17000</v>
      </c>
      <c r="D62" s="529">
        <f t="shared" ref="D62:D63" si="5">C62</f>
        <v>17000</v>
      </c>
      <c r="E62" s="526">
        <f t="shared" si="2"/>
        <v>0</v>
      </c>
      <c r="F62" s="254">
        <f t="shared" si="1"/>
        <v>1</v>
      </c>
    </row>
    <row r="63" spans="1:6" s="208" customFormat="1" ht="112.5">
      <c r="A63" s="255" t="s">
        <v>432</v>
      </c>
      <c r="B63" s="232" t="s">
        <v>710</v>
      </c>
      <c r="C63" s="528">
        <v>33909</v>
      </c>
      <c r="D63" s="529">
        <f t="shared" si="5"/>
        <v>33909</v>
      </c>
      <c r="E63" s="526">
        <f t="shared" si="2"/>
        <v>0</v>
      </c>
      <c r="F63" s="254">
        <f t="shared" si="1"/>
        <v>1</v>
      </c>
    </row>
    <row r="64" spans="1:6" s="208" customFormat="1" ht="61.5" customHeight="1">
      <c r="A64" s="250" t="s">
        <v>147</v>
      </c>
      <c r="B64" s="530" t="s">
        <v>412</v>
      </c>
      <c r="C64" s="253">
        <v>259</v>
      </c>
      <c r="D64" s="516">
        <f>C64</f>
        <v>259</v>
      </c>
      <c r="E64" s="516">
        <f>SUM(E65:E66)</f>
        <v>0</v>
      </c>
      <c r="F64" s="254">
        <f t="shared" si="1"/>
        <v>1</v>
      </c>
    </row>
    <row r="65" spans="1:6" s="219" customFormat="1" ht="18.75">
      <c r="A65" s="250" t="s">
        <v>149</v>
      </c>
      <c r="B65" s="530" t="s">
        <v>413</v>
      </c>
      <c r="C65" s="253">
        <f>SUM(C66:C68)</f>
        <v>1000</v>
      </c>
      <c r="D65" s="253">
        <f>SUM(D66:D68)</f>
        <v>1000</v>
      </c>
      <c r="E65" s="526">
        <f t="shared" si="2"/>
        <v>0</v>
      </c>
      <c r="F65" s="256">
        <f t="shared" si="1"/>
        <v>1</v>
      </c>
    </row>
    <row r="66" spans="1:6" s="219" customFormat="1" ht="18.75">
      <c r="A66" s="250" t="s">
        <v>19</v>
      </c>
      <c r="B66" s="530" t="s">
        <v>271</v>
      </c>
      <c r="C66" s="253">
        <v>300</v>
      </c>
      <c r="D66" s="516">
        <f t="shared" ref="D66:D68" si="6">C66</f>
        <v>300</v>
      </c>
      <c r="E66" s="526">
        <f t="shared" si="2"/>
        <v>0</v>
      </c>
      <c r="F66" s="256">
        <f t="shared" si="1"/>
        <v>1</v>
      </c>
    </row>
    <row r="67" spans="1:6" s="219" customFormat="1" ht="18.75">
      <c r="A67" s="250" t="s">
        <v>19</v>
      </c>
      <c r="B67" s="530" t="s">
        <v>414</v>
      </c>
      <c r="C67" s="253">
        <v>400</v>
      </c>
      <c r="D67" s="516">
        <f t="shared" si="6"/>
        <v>400</v>
      </c>
      <c r="E67" s="526"/>
      <c r="F67" s="256"/>
    </row>
    <row r="68" spans="1:6" s="219" customFormat="1" ht="18.75">
      <c r="A68" s="250" t="s">
        <v>19</v>
      </c>
      <c r="B68" s="530" t="s">
        <v>415</v>
      </c>
      <c r="C68" s="253">
        <v>300</v>
      </c>
      <c r="D68" s="516">
        <f t="shared" si="6"/>
        <v>300</v>
      </c>
      <c r="E68" s="526"/>
      <c r="F68" s="256"/>
    </row>
    <row r="69" spans="1:6" s="219" customFormat="1" ht="37.5">
      <c r="A69" s="250" t="s">
        <v>151</v>
      </c>
      <c r="B69" s="227" t="s">
        <v>416</v>
      </c>
      <c r="C69" s="253">
        <f>SUM(C70:C82)</f>
        <v>23995</v>
      </c>
      <c r="D69" s="253">
        <f>SUM(D70:D82)</f>
        <v>23995</v>
      </c>
      <c r="E69" s="526"/>
      <c r="F69" s="256"/>
    </row>
    <row r="70" spans="1:6" s="219" customFormat="1" ht="18.75">
      <c r="A70" s="250" t="s">
        <v>19</v>
      </c>
      <c r="B70" s="227" t="s">
        <v>417</v>
      </c>
      <c r="C70" s="253">
        <v>400</v>
      </c>
      <c r="D70" s="516">
        <f t="shared" ref="D70:D85" si="7">C70</f>
        <v>400</v>
      </c>
      <c r="E70" s="526"/>
      <c r="F70" s="256"/>
    </row>
    <row r="71" spans="1:6" s="219" customFormat="1" ht="18.75">
      <c r="A71" s="250" t="s">
        <v>19</v>
      </c>
      <c r="B71" s="227" t="s">
        <v>144</v>
      </c>
      <c r="C71" s="253">
        <v>5186</v>
      </c>
      <c r="D71" s="516">
        <f t="shared" si="7"/>
        <v>5186</v>
      </c>
      <c r="E71" s="526"/>
      <c r="F71" s="256"/>
    </row>
    <row r="72" spans="1:6" s="219" customFormat="1" ht="18.75">
      <c r="A72" s="250" t="s">
        <v>19</v>
      </c>
      <c r="B72" s="227" t="s">
        <v>418</v>
      </c>
      <c r="C72" s="253">
        <v>2560</v>
      </c>
      <c r="D72" s="516">
        <f t="shared" si="7"/>
        <v>2560</v>
      </c>
      <c r="E72" s="526"/>
      <c r="F72" s="256"/>
    </row>
    <row r="73" spans="1:6" s="219" customFormat="1" ht="18.75">
      <c r="A73" s="250" t="s">
        <v>19</v>
      </c>
      <c r="B73" s="227" t="s">
        <v>419</v>
      </c>
      <c r="C73" s="253">
        <v>449</v>
      </c>
      <c r="D73" s="516">
        <f t="shared" si="7"/>
        <v>449</v>
      </c>
      <c r="E73" s="526"/>
      <c r="F73" s="256"/>
    </row>
    <row r="74" spans="1:6" s="219" customFormat="1" ht="18.75">
      <c r="A74" s="250" t="s">
        <v>19</v>
      </c>
      <c r="B74" s="227" t="s">
        <v>420</v>
      </c>
      <c r="C74" s="253">
        <v>384</v>
      </c>
      <c r="D74" s="516">
        <f t="shared" si="7"/>
        <v>384</v>
      </c>
      <c r="E74" s="526"/>
      <c r="F74" s="256"/>
    </row>
    <row r="75" spans="1:6" s="219" customFormat="1" ht="18.75">
      <c r="A75" s="250" t="s">
        <v>19</v>
      </c>
      <c r="B75" s="227" t="s">
        <v>421</v>
      </c>
      <c r="C75" s="253">
        <v>5393</v>
      </c>
      <c r="D75" s="516">
        <f t="shared" si="7"/>
        <v>5393</v>
      </c>
      <c r="E75" s="526"/>
      <c r="F75" s="256"/>
    </row>
    <row r="76" spans="1:6" s="219" customFormat="1" ht="18.75">
      <c r="A76" s="250" t="s">
        <v>19</v>
      </c>
      <c r="B76" s="227" t="s">
        <v>422</v>
      </c>
      <c r="C76" s="253">
        <v>1102</v>
      </c>
      <c r="D76" s="516">
        <f t="shared" si="7"/>
        <v>1102</v>
      </c>
      <c r="E76" s="526"/>
      <c r="F76" s="256"/>
    </row>
    <row r="77" spans="1:6" s="219" customFormat="1" ht="18.75">
      <c r="A77" s="250" t="s">
        <v>19</v>
      </c>
      <c r="B77" s="227" t="s">
        <v>423</v>
      </c>
      <c r="C77" s="253">
        <v>3254</v>
      </c>
      <c r="D77" s="516">
        <f t="shared" si="7"/>
        <v>3254</v>
      </c>
      <c r="E77" s="526"/>
      <c r="F77" s="256"/>
    </row>
    <row r="78" spans="1:6" s="219" customFormat="1" ht="18.75">
      <c r="A78" s="250" t="s">
        <v>19</v>
      </c>
      <c r="B78" s="227" t="s">
        <v>424</v>
      </c>
      <c r="C78" s="253">
        <v>4237</v>
      </c>
      <c r="D78" s="516">
        <f t="shared" si="7"/>
        <v>4237</v>
      </c>
      <c r="E78" s="526"/>
      <c r="F78" s="256"/>
    </row>
    <row r="79" spans="1:6" s="219" customFormat="1" ht="18.75">
      <c r="A79" s="250" t="s">
        <v>19</v>
      </c>
      <c r="B79" s="227" t="s">
        <v>711</v>
      </c>
      <c r="C79" s="253">
        <v>25</v>
      </c>
      <c r="D79" s="516">
        <f t="shared" si="7"/>
        <v>25</v>
      </c>
      <c r="E79" s="526"/>
      <c r="F79" s="256"/>
    </row>
    <row r="80" spans="1:6" s="219" customFormat="1" ht="18.75">
      <c r="A80" s="250" t="s">
        <v>19</v>
      </c>
      <c r="B80" s="227" t="s">
        <v>712</v>
      </c>
      <c r="C80" s="253">
        <v>168</v>
      </c>
      <c r="D80" s="516">
        <f t="shared" si="7"/>
        <v>168</v>
      </c>
      <c r="E80" s="526"/>
      <c r="F80" s="256"/>
    </row>
    <row r="81" spans="1:6" s="219" customFormat="1" ht="18.75">
      <c r="A81" s="250" t="s">
        <v>19</v>
      </c>
      <c r="B81" s="227" t="s">
        <v>425</v>
      </c>
      <c r="C81" s="253">
        <v>737</v>
      </c>
      <c r="D81" s="516">
        <f t="shared" si="7"/>
        <v>737</v>
      </c>
      <c r="E81" s="526"/>
      <c r="F81" s="256"/>
    </row>
    <row r="82" spans="1:6" s="219" customFormat="1" ht="18.75">
      <c r="A82" s="250" t="s">
        <v>19</v>
      </c>
      <c r="B82" s="227" t="s">
        <v>713</v>
      </c>
      <c r="C82" s="253">
        <v>100</v>
      </c>
      <c r="D82" s="516">
        <f t="shared" si="7"/>
        <v>100</v>
      </c>
      <c r="E82" s="526"/>
      <c r="F82" s="256"/>
    </row>
    <row r="83" spans="1:6" s="219" customFormat="1" ht="18.75">
      <c r="A83" s="250" t="s">
        <v>159</v>
      </c>
      <c r="B83" s="227" t="s">
        <v>428</v>
      </c>
      <c r="C83" s="253">
        <f>SUM(C84:C85)</f>
        <v>48480.727830000003</v>
      </c>
      <c r="D83" s="253">
        <f>SUM(D84:D85)</f>
        <v>48480.727830000003</v>
      </c>
      <c r="E83" s="526"/>
      <c r="F83" s="256"/>
    </row>
    <row r="84" spans="1:6" s="219" customFormat="1" ht="18.75">
      <c r="A84" s="250" t="s">
        <v>19</v>
      </c>
      <c r="B84" s="227" t="s">
        <v>429</v>
      </c>
      <c r="C84" s="253">
        <v>174.72782999999998</v>
      </c>
      <c r="D84" s="516">
        <f t="shared" si="7"/>
        <v>174.72782999999998</v>
      </c>
      <c r="E84" s="526"/>
      <c r="F84" s="256"/>
    </row>
    <row r="85" spans="1:6" s="219" customFormat="1" ht="18.75">
      <c r="A85" s="250" t="s">
        <v>19</v>
      </c>
      <c r="B85" s="227" t="s">
        <v>407</v>
      </c>
      <c r="C85" s="253">
        <v>48306</v>
      </c>
      <c r="D85" s="516">
        <f t="shared" si="7"/>
        <v>48306</v>
      </c>
      <c r="E85" s="526"/>
      <c r="F85" s="256"/>
    </row>
    <row r="86" spans="1:6" s="219" customFormat="1" ht="18.75">
      <c r="A86" s="250" t="s">
        <v>161</v>
      </c>
      <c r="B86" s="227" t="s">
        <v>431</v>
      </c>
      <c r="C86" s="253">
        <f>C87+C100</f>
        <v>36324</v>
      </c>
      <c r="D86" s="253">
        <f>D87+D100</f>
        <v>36324</v>
      </c>
      <c r="E86" s="526"/>
      <c r="F86" s="256"/>
    </row>
    <row r="87" spans="1:6" s="219" customFormat="1" ht="18.75">
      <c r="A87" s="250" t="s">
        <v>388</v>
      </c>
      <c r="B87" s="227" t="s">
        <v>389</v>
      </c>
      <c r="C87" s="253">
        <f>C88+C92+C94</f>
        <v>26671</v>
      </c>
      <c r="D87" s="253">
        <f>D88+D92+D94</f>
        <v>26671</v>
      </c>
      <c r="E87" s="526"/>
      <c r="F87" s="256"/>
    </row>
    <row r="88" spans="1:6" s="219" customFormat="1" ht="18.75">
      <c r="A88" s="250" t="s">
        <v>19</v>
      </c>
      <c r="B88" s="227" t="s">
        <v>146</v>
      </c>
      <c r="C88" s="253">
        <f>SUM(C89:C91)</f>
        <v>7558</v>
      </c>
      <c r="D88" s="253">
        <f>SUM(D89:D91)</f>
        <v>7558</v>
      </c>
      <c r="E88" s="526"/>
      <c r="F88" s="256"/>
    </row>
    <row r="89" spans="1:6" s="219" customFormat="1" ht="75">
      <c r="A89" s="531" t="s">
        <v>432</v>
      </c>
      <c r="B89" s="232" t="s">
        <v>437</v>
      </c>
      <c r="C89" s="528">
        <v>2830</v>
      </c>
      <c r="D89" s="529">
        <f t="shared" ref="D89:D91" si="8">C89</f>
        <v>2830</v>
      </c>
      <c r="E89" s="526"/>
      <c r="F89" s="256"/>
    </row>
    <row r="90" spans="1:6" s="219" customFormat="1" ht="75">
      <c r="A90" s="531" t="s">
        <v>432</v>
      </c>
      <c r="B90" s="232" t="s">
        <v>438</v>
      </c>
      <c r="C90" s="528">
        <v>4634</v>
      </c>
      <c r="D90" s="529">
        <f t="shared" si="8"/>
        <v>4634</v>
      </c>
      <c r="E90" s="526"/>
      <c r="F90" s="256"/>
    </row>
    <row r="91" spans="1:6" s="219" customFormat="1" ht="75">
      <c r="A91" s="531" t="s">
        <v>432</v>
      </c>
      <c r="B91" s="232" t="s">
        <v>436</v>
      </c>
      <c r="C91" s="528">
        <v>94</v>
      </c>
      <c r="D91" s="529">
        <f t="shared" si="8"/>
        <v>94</v>
      </c>
      <c r="E91" s="526"/>
      <c r="F91" s="256"/>
    </row>
    <row r="92" spans="1:6" s="219" customFormat="1" ht="18.75">
      <c r="A92" s="250" t="s">
        <v>19</v>
      </c>
      <c r="B92" s="227" t="s">
        <v>439</v>
      </c>
      <c r="C92" s="253">
        <f>C93</f>
        <v>131</v>
      </c>
      <c r="D92" s="253">
        <f>D93</f>
        <v>131</v>
      </c>
      <c r="E92" s="526"/>
      <c r="F92" s="256"/>
    </row>
    <row r="93" spans="1:6" s="219" customFormat="1" ht="56.25">
      <c r="A93" s="531" t="s">
        <v>432</v>
      </c>
      <c r="B93" s="232" t="s">
        <v>441</v>
      </c>
      <c r="C93" s="528">
        <v>131</v>
      </c>
      <c r="D93" s="529">
        <f t="shared" ref="D93" si="9">C93</f>
        <v>131</v>
      </c>
      <c r="E93" s="526"/>
      <c r="F93" s="256"/>
    </row>
    <row r="94" spans="1:6" s="219" customFormat="1" ht="18.75">
      <c r="A94" s="250" t="s">
        <v>19</v>
      </c>
      <c r="B94" s="227" t="s">
        <v>442</v>
      </c>
      <c r="C94" s="253">
        <f>SUM(C95:C99)</f>
        <v>18982</v>
      </c>
      <c r="D94" s="253">
        <f>SUM(D95:D99)</f>
        <v>18982</v>
      </c>
      <c r="E94" s="526"/>
      <c r="F94" s="256"/>
    </row>
    <row r="95" spans="1:6" s="219" customFormat="1" ht="18.75">
      <c r="A95" s="531" t="s">
        <v>432</v>
      </c>
      <c r="B95" s="232" t="s">
        <v>443</v>
      </c>
      <c r="C95" s="528">
        <v>4591</v>
      </c>
      <c r="D95" s="529">
        <f t="shared" ref="D95:D99" si="10">C95</f>
        <v>4591</v>
      </c>
      <c r="E95" s="526"/>
      <c r="F95" s="256"/>
    </row>
    <row r="96" spans="1:6" s="219" customFormat="1" ht="56.25">
      <c r="A96" s="531" t="s">
        <v>432</v>
      </c>
      <c r="B96" s="232" t="s">
        <v>444</v>
      </c>
      <c r="C96" s="528">
        <v>3645</v>
      </c>
      <c r="D96" s="529">
        <f t="shared" si="10"/>
        <v>3645</v>
      </c>
      <c r="E96" s="526"/>
      <c r="F96" s="256"/>
    </row>
    <row r="97" spans="1:6" s="219" customFormat="1" ht="18.75">
      <c r="A97" s="531" t="s">
        <v>432</v>
      </c>
      <c r="B97" s="232" t="s">
        <v>445</v>
      </c>
      <c r="C97" s="528">
        <v>3</v>
      </c>
      <c r="D97" s="529">
        <f t="shared" si="10"/>
        <v>3</v>
      </c>
      <c r="E97" s="526"/>
      <c r="F97" s="256"/>
    </row>
    <row r="98" spans="1:6" s="219" customFormat="1" ht="18.75">
      <c r="A98" s="531" t="s">
        <v>432</v>
      </c>
      <c r="B98" s="232" t="s">
        <v>446</v>
      </c>
      <c r="C98" s="528">
        <v>3516</v>
      </c>
      <c r="D98" s="529">
        <f t="shared" si="10"/>
        <v>3516</v>
      </c>
      <c r="E98" s="526"/>
      <c r="F98" s="256"/>
    </row>
    <row r="99" spans="1:6" s="219" customFormat="1" ht="18.75">
      <c r="A99" s="531" t="s">
        <v>432</v>
      </c>
      <c r="B99" s="232" t="s">
        <v>450</v>
      </c>
      <c r="C99" s="528">
        <v>7227</v>
      </c>
      <c r="D99" s="529">
        <f t="shared" si="10"/>
        <v>7227</v>
      </c>
      <c r="E99" s="526"/>
      <c r="F99" s="256"/>
    </row>
    <row r="100" spans="1:6" s="219" customFormat="1" ht="18.75">
      <c r="A100" s="250" t="s">
        <v>406</v>
      </c>
      <c r="B100" s="227" t="s">
        <v>407</v>
      </c>
      <c r="C100" s="253">
        <v>9653</v>
      </c>
      <c r="D100" s="529">
        <f>C100</f>
        <v>9653</v>
      </c>
      <c r="E100" s="526"/>
      <c r="F100" s="256"/>
    </row>
    <row r="101" spans="1:6" s="219" customFormat="1" ht="60.75" customHeight="1">
      <c r="A101" s="250">
        <v>8</v>
      </c>
      <c r="B101" s="227" t="s">
        <v>981</v>
      </c>
      <c r="C101" s="253"/>
      <c r="D101" s="516">
        <v>46228</v>
      </c>
      <c r="E101" s="526">
        <f t="shared" ref="E101:E105" si="11">D101-C101</f>
        <v>46228</v>
      </c>
      <c r="F101" s="256"/>
    </row>
    <row r="102" spans="1:6" s="219" customFormat="1" ht="18.75">
      <c r="A102" s="250">
        <v>9</v>
      </c>
      <c r="B102" s="227" t="s">
        <v>982</v>
      </c>
      <c r="C102" s="253"/>
      <c r="D102" s="516">
        <v>130000</v>
      </c>
      <c r="E102" s="526">
        <f t="shared" si="11"/>
        <v>130000</v>
      </c>
      <c r="F102" s="256"/>
    </row>
    <row r="103" spans="1:6" s="219" customFormat="1" ht="18.75">
      <c r="A103" s="250">
        <v>10</v>
      </c>
      <c r="B103" s="227" t="s">
        <v>983</v>
      </c>
      <c r="C103" s="253"/>
      <c r="D103" s="516">
        <v>30254.272170000011</v>
      </c>
      <c r="E103" s="526">
        <f t="shared" si="11"/>
        <v>30254.272170000011</v>
      </c>
      <c r="F103" s="256"/>
    </row>
    <row r="104" spans="1:6" s="241" customFormat="1" ht="18.75">
      <c r="A104" s="534" t="s">
        <v>75</v>
      </c>
      <c r="B104" s="535" t="s">
        <v>310</v>
      </c>
      <c r="C104" s="536"/>
      <c r="D104" s="537">
        <f>'PL12'!D33</f>
        <v>3986753.4</v>
      </c>
      <c r="E104" s="515">
        <f t="shared" si="11"/>
        <v>3986753.4</v>
      </c>
      <c r="F104" s="254"/>
    </row>
    <row r="105" spans="1:6" s="241" customFormat="1" ht="37.5">
      <c r="A105" s="538" t="s">
        <v>540</v>
      </c>
      <c r="B105" s="539" t="s">
        <v>1075</v>
      </c>
      <c r="C105" s="540"/>
      <c r="D105" s="541">
        <f>'PL12'!D34</f>
        <v>178867.80000000002</v>
      </c>
      <c r="E105" s="532">
        <f t="shared" si="11"/>
        <v>178867.80000000002</v>
      </c>
      <c r="F105" s="542"/>
    </row>
    <row r="106" spans="1:6" ht="24.75" hidden="1" customHeight="1">
      <c r="A106" s="218" t="s">
        <v>714</v>
      </c>
      <c r="B106" s="219"/>
      <c r="C106" s="208"/>
      <c r="D106" s="208"/>
      <c r="E106" s="533"/>
      <c r="F106" s="533"/>
    </row>
    <row r="107" spans="1:6" ht="16.5" hidden="1" customHeight="1">
      <c r="A107" s="218"/>
      <c r="B107" s="218" t="s">
        <v>82</v>
      </c>
    </row>
    <row r="108" spans="1:6" ht="18.75">
      <c r="A108" s="208"/>
      <c r="B108" s="208"/>
      <c r="C108" s="208"/>
      <c r="D108" s="208"/>
    </row>
    <row r="109" spans="1:6" ht="18.75">
      <c r="A109" s="208"/>
      <c r="B109" s="208"/>
      <c r="C109" s="208"/>
      <c r="D109" s="208"/>
    </row>
    <row r="110" spans="1:6" ht="18.75">
      <c r="A110" s="208"/>
      <c r="B110" s="208"/>
      <c r="C110" s="208"/>
      <c r="D110" s="208"/>
    </row>
    <row r="111" spans="1:6" ht="18.75">
      <c r="A111" s="208"/>
      <c r="B111" s="208"/>
      <c r="C111" s="208"/>
      <c r="D111" s="208"/>
    </row>
  </sheetData>
  <mergeCells count="11">
    <mergeCell ref="F6:F7"/>
    <mergeCell ref="E1:F1"/>
    <mergeCell ref="A2:F2"/>
    <mergeCell ref="A3:F3"/>
    <mergeCell ref="D4:F4"/>
    <mergeCell ref="A5:A7"/>
    <mergeCell ref="B5:B7"/>
    <mergeCell ref="C5:C7"/>
    <mergeCell ref="D5:D7"/>
    <mergeCell ref="E5:F5"/>
    <mergeCell ref="E6:E7"/>
  </mergeCells>
  <dataValidations count="1">
    <dataValidation allowBlank="1" showInputMessage="1" showErrorMessage="1" prompt="QĐ số 627/QĐ-UBND ngày 04 tháng 10 năm 2022 của UBND tỉnh; Thông báo Kết luận số 46/TB-TTHĐND ngày 16 tháng 9 năm 2022 của Thường trực Hộiđồng nhân dân tỉnh tại Phiên hợp giao ban thường kỳ tháng 9 năm 2022" sqref="C64 IY64 SU64 ACQ64 AMM64 AWI64 BGE64 BQA64 BZW64 CJS64 CTO64 DDK64 DNG64 DXC64 EGY64 EQU64 FAQ64 FKM64 FUI64 GEE64 GOA64 GXW64 HHS64 HRO64 IBK64 ILG64 IVC64 JEY64 JOU64 JYQ64 KIM64 KSI64 LCE64 LMA64 LVW64 MFS64 MPO64 MZK64 NJG64 NTC64 OCY64 OMU64 OWQ64 PGM64 PQI64 QAE64 QKA64 QTW64 RDS64 RNO64 RXK64 SHG64 SRC64 TAY64 TKU64 TUQ64 UEM64 UOI64 UYE64 VIA64 VRW64 WBS64 WLO64 WVK64 C65603 IY65603 SU65603 ACQ65603 AMM65603 AWI65603 BGE65603 BQA65603 BZW65603 CJS65603 CTO65603 DDK65603 DNG65603 DXC65603 EGY65603 EQU65603 FAQ65603 FKM65603 FUI65603 GEE65603 GOA65603 GXW65603 HHS65603 HRO65603 IBK65603 ILG65603 IVC65603 JEY65603 JOU65603 JYQ65603 KIM65603 KSI65603 LCE65603 LMA65603 LVW65603 MFS65603 MPO65603 MZK65603 NJG65603 NTC65603 OCY65603 OMU65603 OWQ65603 PGM65603 PQI65603 QAE65603 QKA65603 QTW65603 RDS65603 RNO65603 RXK65603 SHG65603 SRC65603 TAY65603 TKU65603 TUQ65603 UEM65603 UOI65603 UYE65603 VIA65603 VRW65603 WBS65603 WLO65603 WVK65603 C131139 IY131139 SU131139 ACQ131139 AMM131139 AWI131139 BGE131139 BQA131139 BZW131139 CJS131139 CTO131139 DDK131139 DNG131139 DXC131139 EGY131139 EQU131139 FAQ131139 FKM131139 FUI131139 GEE131139 GOA131139 GXW131139 HHS131139 HRO131139 IBK131139 ILG131139 IVC131139 JEY131139 JOU131139 JYQ131139 KIM131139 KSI131139 LCE131139 LMA131139 LVW131139 MFS131139 MPO131139 MZK131139 NJG131139 NTC131139 OCY131139 OMU131139 OWQ131139 PGM131139 PQI131139 QAE131139 QKA131139 QTW131139 RDS131139 RNO131139 RXK131139 SHG131139 SRC131139 TAY131139 TKU131139 TUQ131139 UEM131139 UOI131139 UYE131139 VIA131139 VRW131139 WBS131139 WLO131139 WVK131139 C196675 IY196675 SU196675 ACQ196675 AMM196675 AWI196675 BGE196675 BQA196675 BZW196675 CJS196675 CTO196675 DDK196675 DNG196675 DXC196675 EGY196675 EQU196675 FAQ196675 FKM196675 FUI196675 GEE196675 GOA196675 GXW196675 HHS196675 HRO196675 IBK196675 ILG196675 IVC196675 JEY196675 JOU196675 JYQ196675 KIM196675 KSI196675 LCE196675 LMA196675 LVW196675 MFS196675 MPO196675 MZK196675 NJG196675 NTC196675 OCY196675 OMU196675 OWQ196675 PGM196675 PQI196675 QAE196675 QKA196675 QTW196675 RDS196675 RNO196675 RXK196675 SHG196675 SRC196675 TAY196675 TKU196675 TUQ196675 UEM196675 UOI196675 UYE196675 VIA196675 VRW196675 WBS196675 WLO196675 WVK196675 C262211 IY262211 SU262211 ACQ262211 AMM262211 AWI262211 BGE262211 BQA262211 BZW262211 CJS262211 CTO262211 DDK262211 DNG262211 DXC262211 EGY262211 EQU262211 FAQ262211 FKM262211 FUI262211 GEE262211 GOA262211 GXW262211 HHS262211 HRO262211 IBK262211 ILG262211 IVC262211 JEY262211 JOU262211 JYQ262211 KIM262211 KSI262211 LCE262211 LMA262211 LVW262211 MFS262211 MPO262211 MZK262211 NJG262211 NTC262211 OCY262211 OMU262211 OWQ262211 PGM262211 PQI262211 QAE262211 QKA262211 QTW262211 RDS262211 RNO262211 RXK262211 SHG262211 SRC262211 TAY262211 TKU262211 TUQ262211 UEM262211 UOI262211 UYE262211 VIA262211 VRW262211 WBS262211 WLO262211 WVK262211 C327747 IY327747 SU327747 ACQ327747 AMM327747 AWI327747 BGE327747 BQA327747 BZW327747 CJS327747 CTO327747 DDK327747 DNG327747 DXC327747 EGY327747 EQU327747 FAQ327747 FKM327747 FUI327747 GEE327747 GOA327747 GXW327747 HHS327747 HRO327747 IBK327747 ILG327747 IVC327747 JEY327747 JOU327747 JYQ327747 KIM327747 KSI327747 LCE327747 LMA327747 LVW327747 MFS327747 MPO327747 MZK327747 NJG327747 NTC327747 OCY327747 OMU327747 OWQ327747 PGM327747 PQI327747 QAE327747 QKA327747 QTW327747 RDS327747 RNO327747 RXK327747 SHG327747 SRC327747 TAY327747 TKU327747 TUQ327747 UEM327747 UOI327747 UYE327747 VIA327747 VRW327747 WBS327747 WLO327747 WVK327747 C393283 IY393283 SU393283 ACQ393283 AMM393283 AWI393283 BGE393283 BQA393283 BZW393283 CJS393283 CTO393283 DDK393283 DNG393283 DXC393283 EGY393283 EQU393283 FAQ393283 FKM393283 FUI393283 GEE393283 GOA393283 GXW393283 HHS393283 HRO393283 IBK393283 ILG393283 IVC393283 JEY393283 JOU393283 JYQ393283 KIM393283 KSI393283 LCE393283 LMA393283 LVW393283 MFS393283 MPO393283 MZK393283 NJG393283 NTC393283 OCY393283 OMU393283 OWQ393283 PGM393283 PQI393283 QAE393283 QKA393283 QTW393283 RDS393283 RNO393283 RXK393283 SHG393283 SRC393283 TAY393283 TKU393283 TUQ393283 UEM393283 UOI393283 UYE393283 VIA393283 VRW393283 WBS393283 WLO393283 WVK393283 C458819 IY458819 SU458819 ACQ458819 AMM458819 AWI458819 BGE458819 BQA458819 BZW458819 CJS458819 CTO458819 DDK458819 DNG458819 DXC458819 EGY458819 EQU458819 FAQ458819 FKM458819 FUI458819 GEE458819 GOA458819 GXW458819 HHS458819 HRO458819 IBK458819 ILG458819 IVC458819 JEY458819 JOU458819 JYQ458819 KIM458819 KSI458819 LCE458819 LMA458819 LVW458819 MFS458819 MPO458819 MZK458819 NJG458819 NTC458819 OCY458819 OMU458819 OWQ458819 PGM458819 PQI458819 QAE458819 QKA458819 QTW458819 RDS458819 RNO458819 RXK458819 SHG458819 SRC458819 TAY458819 TKU458819 TUQ458819 UEM458819 UOI458819 UYE458819 VIA458819 VRW458819 WBS458819 WLO458819 WVK458819 C524355 IY524355 SU524355 ACQ524355 AMM524355 AWI524355 BGE524355 BQA524355 BZW524355 CJS524355 CTO524355 DDK524355 DNG524355 DXC524355 EGY524355 EQU524355 FAQ524355 FKM524355 FUI524355 GEE524355 GOA524355 GXW524355 HHS524355 HRO524355 IBK524355 ILG524355 IVC524355 JEY524355 JOU524355 JYQ524355 KIM524355 KSI524355 LCE524355 LMA524355 LVW524355 MFS524355 MPO524355 MZK524355 NJG524355 NTC524355 OCY524355 OMU524355 OWQ524355 PGM524355 PQI524355 QAE524355 QKA524355 QTW524355 RDS524355 RNO524355 RXK524355 SHG524355 SRC524355 TAY524355 TKU524355 TUQ524355 UEM524355 UOI524355 UYE524355 VIA524355 VRW524355 WBS524355 WLO524355 WVK524355 C589891 IY589891 SU589891 ACQ589891 AMM589891 AWI589891 BGE589891 BQA589891 BZW589891 CJS589891 CTO589891 DDK589891 DNG589891 DXC589891 EGY589891 EQU589891 FAQ589891 FKM589891 FUI589891 GEE589891 GOA589891 GXW589891 HHS589891 HRO589891 IBK589891 ILG589891 IVC589891 JEY589891 JOU589891 JYQ589891 KIM589891 KSI589891 LCE589891 LMA589891 LVW589891 MFS589891 MPO589891 MZK589891 NJG589891 NTC589891 OCY589891 OMU589891 OWQ589891 PGM589891 PQI589891 QAE589891 QKA589891 QTW589891 RDS589891 RNO589891 RXK589891 SHG589891 SRC589891 TAY589891 TKU589891 TUQ589891 UEM589891 UOI589891 UYE589891 VIA589891 VRW589891 WBS589891 WLO589891 WVK589891 C655427 IY655427 SU655427 ACQ655427 AMM655427 AWI655427 BGE655427 BQA655427 BZW655427 CJS655427 CTO655427 DDK655427 DNG655427 DXC655427 EGY655427 EQU655427 FAQ655427 FKM655427 FUI655427 GEE655427 GOA655427 GXW655427 HHS655427 HRO655427 IBK655427 ILG655427 IVC655427 JEY655427 JOU655427 JYQ655427 KIM655427 KSI655427 LCE655427 LMA655427 LVW655427 MFS655427 MPO655427 MZK655427 NJG655427 NTC655427 OCY655427 OMU655427 OWQ655427 PGM655427 PQI655427 QAE655427 QKA655427 QTW655427 RDS655427 RNO655427 RXK655427 SHG655427 SRC655427 TAY655427 TKU655427 TUQ655427 UEM655427 UOI655427 UYE655427 VIA655427 VRW655427 WBS655427 WLO655427 WVK655427 C720963 IY720963 SU720963 ACQ720963 AMM720963 AWI720963 BGE720963 BQA720963 BZW720963 CJS720963 CTO720963 DDK720963 DNG720963 DXC720963 EGY720963 EQU720963 FAQ720963 FKM720963 FUI720963 GEE720963 GOA720963 GXW720963 HHS720963 HRO720963 IBK720963 ILG720963 IVC720963 JEY720963 JOU720963 JYQ720963 KIM720963 KSI720963 LCE720963 LMA720963 LVW720963 MFS720963 MPO720963 MZK720963 NJG720963 NTC720963 OCY720963 OMU720963 OWQ720963 PGM720963 PQI720963 QAE720963 QKA720963 QTW720963 RDS720963 RNO720963 RXK720963 SHG720963 SRC720963 TAY720963 TKU720963 TUQ720963 UEM720963 UOI720963 UYE720963 VIA720963 VRW720963 WBS720963 WLO720963 WVK720963 C786499 IY786499 SU786499 ACQ786499 AMM786499 AWI786499 BGE786499 BQA786499 BZW786499 CJS786499 CTO786499 DDK786499 DNG786499 DXC786499 EGY786499 EQU786499 FAQ786499 FKM786499 FUI786499 GEE786499 GOA786499 GXW786499 HHS786499 HRO786499 IBK786499 ILG786499 IVC786499 JEY786499 JOU786499 JYQ786499 KIM786499 KSI786499 LCE786499 LMA786499 LVW786499 MFS786499 MPO786499 MZK786499 NJG786499 NTC786499 OCY786499 OMU786499 OWQ786499 PGM786499 PQI786499 QAE786499 QKA786499 QTW786499 RDS786499 RNO786499 RXK786499 SHG786499 SRC786499 TAY786499 TKU786499 TUQ786499 UEM786499 UOI786499 UYE786499 VIA786499 VRW786499 WBS786499 WLO786499 WVK786499 C852035 IY852035 SU852035 ACQ852035 AMM852035 AWI852035 BGE852035 BQA852035 BZW852035 CJS852035 CTO852035 DDK852035 DNG852035 DXC852035 EGY852035 EQU852035 FAQ852035 FKM852035 FUI852035 GEE852035 GOA852035 GXW852035 HHS852035 HRO852035 IBK852035 ILG852035 IVC852035 JEY852035 JOU852035 JYQ852035 KIM852035 KSI852035 LCE852035 LMA852035 LVW852035 MFS852035 MPO852035 MZK852035 NJG852035 NTC852035 OCY852035 OMU852035 OWQ852035 PGM852035 PQI852035 QAE852035 QKA852035 QTW852035 RDS852035 RNO852035 RXK852035 SHG852035 SRC852035 TAY852035 TKU852035 TUQ852035 UEM852035 UOI852035 UYE852035 VIA852035 VRW852035 WBS852035 WLO852035 WVK852035 C917571 IY917571 SU917571 ACQ917571 AMM917571 AWI917571 BGE917571 BQA917571 BZW917571 CJS917571 CTO917571 DDK917571 DNG917571 DXC917571 EGY917571 EQU917571 FAQ917571 FKM917571 FUI917571 GEE917571 GOA917571 GXW917571 HHS917571 HRO917571 IBK917571 ILG917571 IVC917571 JEY917571 JOU917571 JYQ917571 KIM917571 KSI917571 LCE917571 LMA917571 LVW917571 MFS917571 MPO917571 MZK917571 NJG917571 NTC917571 OCY917571 OMU917571 OWQ917571 PGM917571 PQI917571 QAE917571 QKA917571 QTW917571 RDS917571 RNO917571 RXK917571 SHG917571 SRC917571 TAY917571 TKU917571 TUQ917571 UEM917571 UOI917571 UYE917571 VIA917571 VRW917571 WBS917571 WLO917571 WVK917571 C983107 IY983107 SU983107 ACQ983107 AMM983107 AWI983107 BGE983107 BQA983107 BZW983107 CJS983107 CTO983107 DDK983107 DNG983107 DXC983107 EGY983107 EQU983107 FAQ983107 FKM983107 FUI983107 GEE983107 GOA983107 GXW983107 HHS983107 HRO983107 IBK983107 ILG983107 IVC983107 JEY983107 JOU983107 JYQ983107 KIM983107 KSI983107 LCE983107 LMA983107 LVW983107 MFS983107 MPO983107 MZK983107 NJG983107 NTC983107 OCY983107 OMU983107 OWQ983107 PGM983107 PQI983107 QAE983107 QKA983107 QTW983107 RDS983107 RNO983107 RXK983107 SHG983107 SRC983107 TAY983107 TKU983107 TUQ983107 UEM983107 UOI983107 UYE983107 VIA983107 VRW983107 WBS983107 WLO983107 WVK983107"/>
  </dataValidations>
  <printOptions horizontalCentered="1"/>
  <pageMargins left="0.47" right="0.36" top="0.44" bottom="0.44" header="0.17" footer="0.2"/>
  <pageSetup paperSize="9" scale="75" fitToHeight="0" orientation="portrait" r:id="rId1"/>
  <headerFooter alignWithMargins="0">
    <oddHeader xml:space="preserve">&amp;C                                                                                                                                  </oddHeader>
    <oddFooter>&amp;C&amp;".VnTime,  Italic"&amp;8
&amp;".VnTime,Regular"&amp;12&amp;P/&amp;N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V70"/>
  <sheetViews>
    <sheetView showZeros="0" tabSelected="1" zoomScale="70" zoomScaleNormal="70" workbookViewId="0">
      <pane xSplit="2" ySplit="8" topLeftCell="C9" activePane="bottomRight" state="frozen"/>
      <selection activeCell="D18" sqref="D18"/>
      <selection pane="topRight" activeCell="D18" sqref="D18"/>
      <selection pane="bottomLeft" activeCell="D18" sqref="D18"/>
      <selection pane="bottomRight" activeCell="E38" sqref="E38"/>
    </sheetView>
  </sheetViews>
  <sheetFormatPr defaultColWidth="9.140625" defaultRowHeight="15.75" outlineLevelCol="1"/>
  <cols>
    <col min="1" max="1" width="5.85546875" style="212" customWidth="1"/>
    <col min="2" max="2" width="65.85546875" style="212" customWidth="1"/>
    <col min="3" max="5" width="14.85546875" style="212" customWidth="1"/>
    <col min="6" max="6" width="15.140625" style="212" customWidth="1"/>
    <col min="7" max="7" width="10.42578125" style="212" customWidth="1"/>
    <col min="8" max="8" width="17.85546875" style="212" hidden="1" customWidth="1" outlineLevel="1"/>
    <col min="9" max="9" width="12" style="212" hidden="1" customWidth="1" collapsed="1"/>
    <col min="10" max="10" width="16.42578125" style="212" hidden="1" customWidth="1"/>
    <col min="11" max="16384" width="9.140625" style="212"/>
  </cols>
  <sheetData>
    <row r="1" spans="1:10" ht="18.75">
      <c r="A1" s="209"/>
      <c r="B1" s="210"/>
      <c r="C1" s="211"/>
      <c r="D1" s="211"/>
      <c r="E1" s="211"/>
      <c r="F1" s="1022" t="s">
        <v>567</v>
      </c>
      <c r="G1" s="1022"/>
    </row>
    <row r="2" spans="1:10" ht="21" customHeight="1">
      <c r="A2" s="1023" t="s">
        <v>566</v>
      </c>
      <c r="B2" s="1023"/>
      <c r="C2" s="1023"/>
      <c r="D2" s="1023"/>
      <c r="E2" s="1023"/>
      <c r="F2" s="1023"/>
      <c r="G2" s="1023"/>
    </row>
    <row r="3" spans="1:10" ht="21" customHeight="1">
      <c r="A3" s="1024" t="s">
        <v>1210</v>
      </c>
      <c r="B3" s="1024"/>
      <c r="C3" s="1024"/>
      <c r="D3" s="1024"/>
      <c r="E3" s="1024"/>
      <c r="F3" s="1024"/>
      <c r="G3" s="1024"/>
    </row>
    <row r="4" spans="1:10" ht="37.5" customHeight="1">
      <c r="A4" s="235"/>
      <c r="B4" s="478"/>
      <c r="C4" s="215"/>
      <c r="D4" s="208"/>
      <c r="E4" s="1043" t="s">
        <v>2</v>
      </c>
      <c r="F4" s="1043"/>
      <c r="G4" s="1043"/>
    </row>
    <row r="5" spans="1:10" s="213" customFormat="1" ht="21.75" customHeight="1">
      <c r="A5" s="1044" t="s">
        <v>3</v>
      </c>
      <c r="B5" s="1044" t="s">
        <v>4</v>
      </c>
      <c r="C5" s="1042" t="s">
        <v>5</v>
      </c>
      <c r="D5" s="1042" t="s">
        <v>6</v>
      </c>
      <c r="E5" s="1042" t="s">
        <v>565</v>
      </c>
      <c r="F5" s="1044" t="s">
        <v>564</v>
      </c>
      <c r="G5" s="1044"/>
      <c r="I5" s="543">
        <f>D20-D9</f>
        <v>-265824.39999999665</v>
      </c>
      <c r="J5" s="543">
        <f>E20-E9</f>
        <v>7400</v>
      </c>
    </row>
    <row r="6" spans="1:10" s="213" customFormat="1" ht="21.75" customHeight="1">
      <c r="A6" s="1044"/>
      <c r="B6" s="1044"/>
      <c r="C6" s="1042"/>
      <c r="D6" s="1042"/>
      <c r="E6" s="1042"/>
      <c r="F6" s="1042" t="s">
        <v>8</v>
      </c>
      <c r="G6" s="1042" t="s">
        <v>9</v>
      </c>
    </row>
    <row r="7" spans="1:10" s="213" customFormat="1" ht="21.75" customHeight="1">
      <c r="A7" s="1044"/>
      <c r="B7" s="1044"/>
      <c r="C7" s="1042"/>
      <c r="D7" s="1042"/>
      <c r="E7" s="1042"/>
      <c r="F7" s="1042"/>
      <c r="G7" s="1042"/>
    </row>
    <row r="8" spans="1:10" s="214" customFormat="1" ht="17.25" customHeight="1">
      <c r="A8" s="234" t="s">
        <v>10</v>
      </c>
      <c r="B8" s="234" t="s">
        <v>11</v>
      </c>
      <c r="C8" s="234">
        <v>1</v>
      </c>
      <c r="D8" s="234">
        <f>C8+1</f>
        <v>2</v>
      </c>
      <c r="E8" s="234">
        <f>D8+1</f>
        <v>3</v>
      </c>
      <c r="F8" s="234">
        <f>E8+1</f>
        <v>4</v>
      </c>
      <c r="G8" s="234">
        <f>F8+1</f>
        <v>5</v>
      </c>
    </row>
    <row r="9" spans="1:10" s="208" customFormat="1" ht="31.5" customHeight="1">
      <c r="A9" s="236" t="s">
        <v>10</v>
      </c>
      <c r="B9" s="545" t="s">
        <v>527</v>
      </c>
      <c r="C9" s="237">
        <f>C10+C13+C17+C18+C19</f>
        <v>10634124</v>
      </c>
      <c r="D9" s="237">
        <f>D10+D13+D17+D18+D19</f>
        <v>16985444.399999999</v>
      </c>
      <c r="E9" s="237">
        <f>E10+E13+E17+E18+E19+E16</f>
        <v>11782803</v>
      </c>
      <c r="F9" s="237">
        <f t="shared" ref="F9:F19" si="0">E9-D9</f>
        <v>-5202641.3999999985</v>
      </c>
      <c r="G9" s="289">
        <f t="shared" ref="G9:G15" si="1">E9/D9</f>
        <v>0.69370001293578176</v>
      </c>
      <c r="H9" s="215"/>
      <c r="I9" s="215"/>
    </row>
    <row r="10" spans="1:10" s="208" customFormat="1" ht="31.5" customHeight="1">
      <c r="A10" s="225" t="s">
        <v>15</v>
      </c>
      <c r="B10" s="224" t="s">
        <v>528</v>
      </c>
      <c r="C10" s="223">
        <f>C11+C12</f>
        <v>4130600</v>
      </c>
      <c r="D10" s="223">
        <f>D11+D12</f>
        <v>3931000</v>
      </c>
      <c r="E10" s="223">
        <f>E11+E12</f>
        <v>4443500</v>
      </c>
      <c r="F10" s="223">
        <f t="shared" si="0"/>
        <v>512500</v>
      </c>
      <c r="G10" s="226">
        <f t="shared" si="1"/>
        <v>1.1303739506486898</v>
      </c>
    </row>
    <row r="11" spans="1:10" s="208" customFormat="1" ht="31.5" customHeight="1">
      <c r="A11" s="240" t="s">
        <v>19</v>
      </c>
      <c r="B11" s="229" t="s">
        <v>529</v>
      </c>
      <c r="C11" s="222">
        <v>2779500</v>
      </c>
      <c r="D11" s="222">
        <v>2508653</v>
      </c>
      <c r="E11" s="222">
        <v>3120200</v>
      </c>
      <c r="F11" s="222">
        <f t="shared" si="0"/>
        <v>611547</v>
      </c>
      <c r="G11" s="221">
        <f t="shared" si="1"/>
        <v>1.2437750458114374</v>
      </c>
      <c r="H11" s="546"/>
    </row>
    <row r="12" spans="1:10" s="208" customFormat="1" ht="31.5" customHeight="1">
      <c r="A12" s="240" t="s">
        <v>19</v>
      </c>
      <c r="B12" s="229" t="s">
        <v>530</v>
      </c>
      <c r="C12" s="222">
        <v>1351100</v>
      </c>
      <c r="D12" s="222">
        <v>1422347</v>
      </c>
      <c r="E12" s="222">
        <v>1323300</v>
      </c>
      <c r="F12" s="222">
        <f t="shared" si="0"/>
        <v>-99047</v>
      </c>
      <c r="G12" s="221">
        <f t="shared" si="1"/>
        <v>0.93036368762334365</v>
      </c>
      <c r="H12" s="546"/>
    </row>
    <row r="13" spans="1:10" s="208" customFormat="1" ht="31.5" customHeight="1">
      <c r="A13" s="225" t="s">
        <v>25</v>
      </c>
      <c r="B13" s="224" t="s">
        <v>18</v>
      </c>
      <c r="C13" s="223">
        <f>C14+C15</f>
        <v>6503524</v>
      </c>
      <c r="D13" s="223">
        <f>D14+D15</f>
        <v>8453028.4000000004</v>
      </c>
      <c r="E13" s="223">
        <f>E14+E15</f>
        <v>7338605</v>
      </c>
      <c r="F13" s="223">
        <f t="shared" si="0"/>
        <v>-1114423.4000000004</v>
      </c>
      <c r="G13" s="226">
        <f t="shared" si="1"/>
        <v>0.86816282316051363</v>
      </c>
    </row>
    <row r="14" spans="1:10" s="208" customFormat="1" ht="31.5" customHeight="1">
      <c r="A14" s="228">
        <v>1</v>
      </c>
      <c r="B14" s="229" t="s">
        <v>20</v>
      </c>
      <c r="C14" s="222">
        <v>4162191</v>
      </c>
      <c r="D14" s="222">
        <v>4162191</v>
      </c>
      <c r="E14" s="222">
        <v>5383426</v>
      </c>
      <c r="F14" s="222">
        <f t="shared" si="0"/>
        <v>1221235</v>
      </c>
      <c r="G14" s="221">
        <f t="shared" si="1"/>
        <v>1.2934115709730765</v>
      </c>
      <c r="I14" s="215"/>
    </row>
    <row r="15" spans="1:10" s="208" customFormat="1" ht="31.5" customHeight="1">
      <c r="A15" s="228">
        <f>A14+1</f>
        <v>2</v>
      </c>
      <c r="B15" s="229" t="s">
        <v>21</v>
      </c>
      <c r="C15" s="222">
        <v>2341333</v>
      </c>
      <c r="D15" s="222">
        <f>D37</f>
        <v>4290837.4000000004</v>
      </c>
      <c r="E15" s="222">
        <f>E37</f>
        <v>1955179</v>
      </c>
      <c r="F15" s="222">
        <f t="shared" si="0"/>
        <v>-2335658.4000000004</v>
      </c>
      <c r="G15" s="221">
        <f t="shared" si="1"/>
        <v>0.45566373594114751</v>
      </c>
      <c r="I15" s="215"/>
      <c r="J15" s="215"/>
    </row>
    <row r="16" spans="1:10" s="217" customFormat="1" ht="63.75" customHeight="1">
      <c r="A16" s="225" t="s">
        <v>32</v>
      </c>
      <c r="B16" s="238" t="s">
        <v>1074</v>
      </c>
      <c r="C16" s="223"/>
      <c r="D16" s="223"/>
      <c r="E16" s="223">
        <v>698</v>
      </c>
      <c r="F16" s="223"/>
      <c r="G16" s="226"/>
      <c r="I16" s="216"/>
      <c r="J16" s="216"/>
    </row>
    <row r="17" spans="1:10" s="208" customFormat="1" ht="31.5" customHeight="1">
      <c r="A17" s="225" t="s">
        <v>67</v>
      </c>
      <c r="B17" s="224" t="s">
        <v>563</v>
      </c>
      <c r="C17" s="222"/>
      <c r="D17" s="223">
        <v>0</v>
      </c>
      <c r="E17" s="222"/>
      <c r="F17" s="223">
        <f t="shared" si="0"/>
        <v>0</v>
      </c>
      <c r="G17" s="221"/>
    </row>
    <row r="18" spans="1:10" s="208" customFormat="1" ht="31.5" customHeight="1">
      <c r="A18" s="225" t="s">
        <v>69</v>
      </c>
      <c r="B18" s="224" t="s">
        <v>23</v>
      </c>
      <c r="C18" s="222"/>
      <c r="D18" s="223">
        <f>'PL12'!D17</f>
        <v>171690</v>
      </c>
      <c r="E18" s="222"/>
      <c r="F18" s="223">
        <f t="shared" si="0"/>
        <v>-171690</v>
      </c>
      <c r="G18" s="226">
        <f>E18/D18</f>
        <v>0</v>
      </c>
    </row>
    <row r="19" spans="1:10" s="208" customFormat="1" ht="31.5" customHeight="1">
      <c r="A19" s="225" t="s">
        <v>71</v>
      </c>
      <c r="B19" s="224" t="s">
        <v>24</v>
      </c>
      <c r="C19" s="222"/>
      <c r="D19" s="223">
        <f>'PL12'!D18</f>
        <v>4429726</v>
      </c>
      <c r="E19" s="222"/>
      <c r="F19" s="223">
        <f t="shared" si="0"/>
        <v>-4429726</v>
      </c>
      <c r="G19" s="226">
        <f>E19/D19</f>
        <v>0</v>
      </c>
      <c r="H19" s="215"/>
    </row>
    <row r="20" spans="1:10" s="208" customFormat="1" ht="31.5" customHeight="1">
      <c r="A20" s="225" t="s">
        <v>11</v>
      </c>
      <c r="B20" s="224" t="s">
        <v>41</v>
      </c>
      <c r="C20" s="223">
        <f>C21+C37</f>
        <v>10702624</v>
      </c>
      <c r="D20" s="223">
        <f>D21+D37+D42+D43</f>
        <v>16719620.000000002</v>
      </c>
      <c r="E20" s="223">
        <f>E21+E37+E42</f>
        <v>11790203</v>
      </c>
      <c r="F20" s="223">
        <f t="shared" ref="F20:F29" si="2">E20-C20</f>
        <v>1087579</v>
      </c>
      <c r="G20" s="226">
        <f t="shared" ref="G20:G26" si="3">E20/C20</f>
        <v>1.1016179770493666</v>
      </c>
      <c r="H20" s="215"/>
    </row>
    <row r="21" spans="1:10" s="208" customFormat="1" ht="31.5" customHeight="1">
      <c r="A21" s="225" t="s">
        <v>15</v>
      </c>
      <c r="B21" s="224" t="s">
        <v>532</v>
      </c>
      <c r="C21" s="223">
        <f>C22+C23+C24+C25+C26+C28+C29+C35+C36</f>
        <v>8361291</v>
      </c>
      <c r="D21" s="223">
        <f>D22+D23+D24+D25+D26+D28+D29+D35+D36</f>
        <v>8263161.4000000004</v>
      </c>
      <c r="E21" s="223">
        <f>E22+E23+E24+E25+E26+E28+E29+E35+E36</f>
        <v>9835024</v>
      </c>
      <c r="F21" s="223">
        <f t="shared" si="2"/>
        <v>1473733</v>
      </c>
      <c r="G21" s="226">
        <f t="shared" si="3"/>
        <v>1.1762566330964919</v>
      </c>
      <c r="H21" s="215"/>
    </row>
    <row r="22" spans="1:10" s="208" customFormat="1" ht="31.5" customHeight="1">
      <c r="A22" s="228">
        <v>1</v>
      </c>
      <c r="B22" s="229" t="s">
        <v>562</v>
      </c>
      <c r="C22" s="222">
        <f>'PL12'!C21</f>
        <v>1027220</v>
      </c>
      <c r="D22" s="222">
        <f>'PL12'!D21</f>
        <v>1442000</v>
      </c>
      <c r="E22" s="222">
        <v>1024690</v>
      </c>
      <c r="F22" s="222">
        <f t="shared" si="2"/>
        <v>-2530</v>
      </c>
      <c r="G22" s="221">
        <f t="shared" si="3"/>
        <v>0.99753704172426549</v>
      </c>
    </row>
    <row r="23" spans="1:10" s="208" customFormat="1" ht="31.5" customHeight="1">
      <c r="A23" s="228">
        <f>A22+1</f>
        <v>2</v>
      </c>
      <c r="B23" s="229" t="s">
        <v>63</v>
      </c>
      <c r="C23" s="222">
        <f>'PL12'!C22</f>
        <v>5777927</v>
      </c>
      <c r="D23" s="222">
        <f>'PL12'!D22</f>
        <v>6452000</v>
      </c>
      <c r="E23" s="222">
        <v>6981357</v>
      </c>
      <c r="F23" s="222">
        <f t="shared" si="2"/>
        <v>1203430</v>
      </c>
      <c r="G23" s="221">
        <f t="shared" si="3"/>
        <v>1.2082805822918843</v>
      </c>
    </row>
    <row r="24" spans="1:10" s="208" customFormat="1" ht="49.5" customHeight="1">
      <c r="A24" s="228">
        <f>A23+1</f>
        <v>3</v>
      </c>
      <c r="B24" s="227" t="s">
        <v>980</v>
      </c>
      <c r="C24" s="222">
        <f>'PL12'!C23</f>
        <v>2100</v>
      </c>
      <c r="D24" s="222">
        <f>'PL12'!D23-1</f>
        <v>10705</v>
      </c>
      <c r="E24" s="222">
        <v>2300</v>
      </c>
      <c r="F24" s="222">
        <f t="shared" si="2"/>
        <v>200</v>
      </c>
      <c r="G24" s="221">
        <f t="shared" si="3"/>
        <v>1.0952380952380953</v>
      </c>
    </row>
    <row r="25" spans="1:10" s="208" customFormat="1" ht="31.5" customHeight="1">
      <c r="A25" s="228">
        <f>A24+1</f>
        <v>4</v>
      </c>
      <c r="B25" s="229" t="s">
        <v>369</v>
      </c>
      <c r="C25" s="222">
        <f>'PL12'!C24</f>
        <v>1000</v>
      </c>
      <c r="D25" s="222">
        <f>'PL12'!D24</f>
        <v>1000</v>
      </c>
      <c r="E25" s="222">
        <v>1000</v>
      </c>
      <c r="F25" s="222">
        <f t="shared" si="2"/>
        <v>0</v>
      </c>
      <c r="G25" s="221">
        <f t="shared" si="3"/>
        <v>1</v>
      </c>
    </row>
    <row r="26" spans="1:10" s="208" customFormat="1" ht="31.5" customHeight="1">
      <c r="A26" s="228">
        <f>A25+1</f>
        <v>5</v>
      </c>
      <c r="B26" s="229" t="s">
        <v>370</v>
      </c>
      <c r="C26" s="222">
        <f>'PL12'!C25</f>
        <v>165856</v>
      </c>
      <c r="D26" s="222"/>
      <c r="E26" s="222">
        <v>196552.41999999998</v>
      </c>
      <c r="F26" s="222">
        <f t="shared" si="2"/>
        <v>30696.419999999984</v>
      </c>
      <c r="G26" s="221">
        <f t="shared" si="3"/>
        <v>1.185078743005981</v>
      </c>
    </row>
    <row r="27" spans="1:10" s="219" customFormat="1" ht="39" customHeight="1">
      <c r="A27" s="233"/>
      <c r="B27" s="232" t="s">
        <v>561</v>
      </c>
      <c r="C27" s="231">
        <v>26940</v>
      </c>
      <c r="D27" s="231"/>
      <c r="E27" s="231">
        <v>34280.42</v>
      </c>
      <c r="F27" s="231">
        <f t="shared" si="2"/>
        <v>7340.4199999999983</v>
      </c>
      <c r="G27" s="230"/>
      <c r="H27" s="544"/>
    </row>
    <row r="28" spans="1:10" s="208" customFormat="1" ht="31.5" customHeight="1">
      <c r="A28" s="228">
        <f>A26+1</f>
        <v>6</v>
      </c>
      <c r="B28" s="229" t="s">
        <v>535</v>
      </c>
      <c r="C28" s="222"/>
      <c r="D28" s="222"/>
      <c r="E28" s="222"/>
      <c r="F28" s="222">
        <f t="shared" si="2"/>
        <v>0</v>
      </c>
      <c r="G28" s="221"/>
    </row>
    <row r="29" spans="1:10" s="208" customFormat="1" ht="135" customHeight="1">
      <c r="A29" s="228">
        <f>A28+1</f>
        <v>7</v>
      </c>
      <c r="B29" s="227" t="s">
        <v>1208</v>
      </c>
      <c r="C29" s="222">
        <f>'PL12'!C27</f>
        <v>1318688</v>
      </c>
      <c r="D29" s="222">
        <f>'PL12'!D27</f>
        <v>333799</v>
      </c>
      <c r="E29" s="222">
        <v>1621724.58</v>
      </c>
      <c r="F29" s="222">
        <f t="shared" si="2"/>
        <v>303036.58000000007</v>
      </c>
      <c r="G29" s="221">
        <f>E29/C29</f>
        <v>1.2298015755053509</v>
      </c>
      <c r="H29" s="215"/>
      <c r="J29" s="215"/>
    </row>
    <row r="30" spans="1:10" s="219" customFormat="1" ht="52.5" customHeight="1">
      <c r="A30" s="233"/>
      <c r="B30" s="232" t="s">
        <v>371</v>
      </c>
      <c r="C30" s="231">
        <v>131571</v>
      </c>
      <c r="D30" s="231"/>
      <c r="E30" s="231">
        <v>139747.29999999999</v>
      </c>
      <c r="F30" s="231"/>
      <c r="G30" s="230"/>
    </row>
    <row r="31" spans="1:10" s="219" customFormat="1" ht="112.5">
      <c r="A31" s="233"/>
      <c r="B31" s="232" t="s">
        <v>372</v>
      </c>
      <c r="C31" s="231">
        <v>130593</v>
      </c>
      <c r="D31" s="231"/>
      <c r="E31" s="231">
        <v>155213.20000000001</v>
      </c>
      <c r="F31" s="231"/>
      <c r="G31" s="230"/>
    </row>
    <row r="32" spans="1:10" s="219" customFormat="1" ht="47.25" customHeight="1">
      <c r="A32" s="233"/>
      <c r="B32" s="232" t="s">
        <v>560</v>
      </c>
      <c r="C32" s="231">
        <v>22553</v>
      </c>
      <c r="D32" s="231"/>
      <c r="E32" s="231">
        <v>22122.06</v>
      </c>
      <c r="F32" s="231"/>
      <c r="G32" s="230"/>
    </row>
    <row r="33" spans="1:10" s="219" customFormat="1" ht="47.25" customHeight="1">
      <c r="A33" s="233"/>
      <c r="B33" s="232" t="s">
        <v>1117</v>
      </c>
      <c r="C33" s="231"/>
      <c r="D33" s="231"/>
      <c r="E33" s="231">
        <v>10000</v>
      </c>
      <c r="F33" s="231"/>
      <c r="G33" s="230"/>
    </row>
    <row r="34" spans="1:10" s="219" customFormat="1" ht="47.25" customHeight="1">
      <c r="A34" s="233"/>
      <c r="B34" s="232" t="s">
        <v>374</v>
      </c>
      <c r="C34" s="231">
        <f>C29-C30-C31-C32</f>
        <v>1033971</v>
      </c>
      <c r="D34" s="231"/>
      <c r="E34" s="231">
        <v>1294642.02</v>
      </c>
      <c r="F34" s="231"/>
      <c r="G34" s="230"/>
      <c r="J34" s="291"/>
    </row>
    <row r="35" spans="1:10" s="208" customFormat="1" ht="37.5">
      <c r="A35" s="228">
        <f>A29+1</f>
        <v>8</v>
      </c>
      <c r="B35" s="227" t="s">
        <v>559</v>
      </c>
      <c r="C35" s="222"/>
      <c r="D35" s="222">
        <f>'PL12'!D28</f>
        <v>15000</v>
      </c>
      <c r="E35" s="222"/>
      <c r="F35" s="222">
        <f t="shared" ref="F35:F49" si="4">E35-C35</f>
        <v>0</v>
      </c>
      <c r="G35" s="221"/>
    </row>
    <row r="36" spans="1:10" s="208" customFormat="1" ht="31.5" customHeight="1">
      <c r="A36" s="228">
        <f>A35+1</f>
        <v>9</v>
      </c>
      <c r="B36" s="229" t="s">
        <v>537</v>
      </c>
      <c r="C36" s="222">
        <f>'PL12'!C29</f>
        <v>68500</v>
      </c>
      <c r="D36" s="222">
        <f>'PL12'!D29</f>
        <v>8657.4</v>
      </c>
      <c r="E36" s="222">
        <v>7400</v>
      </c>
      <c r="F36" s="222">
        <f t="shared" si="4"/>
        <v>-61100</v>
      </c>
      <c r="G36" s="221">
        <f>E36/C36</f>
        <v>0.10802919708029197</v>
      </c>
    </row>
    <row r="37" spans="1:10" s="208" customFormat="1" ht="31.5" customHeight="1">
      <c r="A37" s="225" t="s">
        <v>25</v>
      </c>
      <c r="B37" s="224" t="s">
        <v>538</v>
      </c>
      <c r="C37" s="223">
        <f>C38+C39</f>
        <v>2341333</v>
      </c>
      <c r="D37" s="223">
        <f>D38+D39</f>
        <v>4290837.4000000004</v>
      </c>
      <c r="E37" s="223">
        <f>E38+E39</f>
        <v>1955179</v>
      </c>
      <c r="F37" s="223">
        <f t="shared" si="4"/>
        <v>-386154</v>
      </c>
      <c r="G37" s="226">
        <f>E37/C37</f>
        <v>0.83507087629141175</v>
      </c>
    </row>
    <row r="38" spans="1:10" s="208" customFormat="1" ht="31.5" customHeight="1">
      <c r="A38" s="228">
        <v>1</v>
      </c>
      <c r="B38" s="229" t="s">
        <v>77</v>
      </c>
      <c r="C38" s="222">
        <f>'PL12'!C31</f>
        <v>1353958</v>
      </c>
      <c r="D38" s="222">
        <f>'PL12'!D31</f>
        <v>832473.4</v>
      </c>
      <c r="E38" s="1015">
        <f>'PL17'!D38</f>
        <v>657402</v>
      </c>
      <c r="F38" s="222">
        <f t="shared" si="4"/>
        <v>-696556</v>
      </c>
      <c r="G38" s="221"/>
      <c r="H38" s="215"/>
    </row>
    <row r="39" spans="1:10" s="208" customFormat="1" ht="31.5" customHeight="1">
      <c r="A39" s="228">
        <f>A38+1</f>
        <v>2</v>
      </c>
      <c r="B39" s="229" t="s">
        <v>381</v>
      </c>
      <c r="C39" s="222">
        <f>'PL12'!C32</f>
        <v>987375</v>
      </c>
      <c r="D39" s="222">
        <f>D40+D41</f>
        <v>3458364</v>
      </c>
      <c r="E39" s="222">
        <f>E40+E41</f>
        <v>1297777</v>
      </c>
      <c r="F39" s="222">
        <f t="shared" si="4"/>
        <v>310402</v>
      </c>
      <c r="G39" s="221">
        <f>E39/C39</f>
        <v>1.3143709330294975</v>
      </c>
    </row>
    <row r="40" spans="1:10" s="208" customFormat="1" ht="31.5" customHeight="1">
      <c r="A40" s="228" t="s">
        <v>143</v>
      </c>
      <c r="B40" s="227" t="s">
        <v>558</v>
      </c>
      <c r="C40" s="222">
        <v>823220</v>
      </c>
      <c r="D40" s="222">
        <f>3198000-110273</f>
        <v>3087727</v>
      </c>
      <c r="E40" s="222">
        <v>824064</v>
      </c>
      <c r="F40" s="222">
        <f t="shared" si="4"/>
        <v>844</v>
      </c>
      <c r="G40" s="221">
        <f>E40/C40</f>
        <v>1.0010252423410511</v>
      </c>
      <c r="J40" s="208">
        <v>3198000</v>
      </c>
    </row>
    <row r="41" spans="1:10" s="208" customFormat="1" ht="53.25" customHeight="1">
      <c r="A41" s="228" t="s">
        <v>145</v>
      </c>
      <c r="B41" s="227" t="s">
        <v>557</v>
      </c>
      <c r="C41" s="222">
        <f>C39-C40</f>
        <v>164155</v>
      </c>
      <c r="D41" s="222">
        <v>370637</v>
      </c>
      <c r="E41" s="222">
        <v>473713</v>
      </c>
      <c r="F41" s="222">
        <f t="shared" si="4"/>
        <v>309558</v>
      </c>
      <c r="G41" s="221">
        <f>E41/C41</f>
        <v>2.8857665011726721</v>
      </c>
      <c r="J41" s="208">
        <v>110273</v>
      </c>
    </row>
    <row r="42" spans="1:10" s="217" customFormat="1" ht="31.5" customHeight="1">
      <c r="A42" s="225" t="s">
        <v>32</v>
      </c>
      <c r="B42" s="224" t="s">
        <v>31</v>
      </c>
      <c r="C42" s="223"/>
      <c r="D42" s="223">
        <f>'PL12'!D33</f>
        <v>3986753.4</v>
      </c>
      <c r="E42" s="223"/>
      <c r="F42" s="223">
        <f t="shared" si="4"/>
        <v>0</v>
      </c>
      <c r="G42" s="226"/>
      <c r="J42" s="217">
        <f>J40-J41</f>
        <v>3087727</v>
      </c>
    </row>
    <row r="43" spans="1:10" s="217" customFormat="1" ht="31.5" customHeight="1">
      <c r="A43" s="225" t="s">
        <v>67</v>
      </c>
      <c r="B43" s="224" t="s">
        <v>1063</v>
      </c>
      <c r="C43" s="223"/>
      <c r="D43" s="223">
        <f>'PL12'!D34</f>
        <v>178867.80000000002</v>
      </c>
      <c r="E43" s="223"/>
      <c r="F43" s="223"/>
      <c r="G43" s="226"/>
    </row>
    <row r="44" spans="1:10" s="208" customFormat="1" ht="31.5" customHeight="1">
      <c r="A44" s="225" t="s">
        <v>75</v>
      </c>
      <c r="B44" s="224" t="s">
        <v>556</v>
      </c>
      <c r="C44" s="223">
        <f>'PL12'!C35</f>
        <v>68500</v>
      </c>
      <c r="D44" s="223">
        <f>'PL12'!D35</f>
        <v>8657.4</v>
      </c>
      <c r="E44" s="223">
        <f>E36</f>
        <v>7400</v>
      </c>
      <c r="F44" s="223">
        <f t="shared" si="4"/>
        <v>-61100</v>
      </c>
      <c r="G44" s="226">
        <f>E44/C44</f>
        <v>0.10802919708029197</v>
      </c>
    </row>
    <row r="45" spans="1:10" s="208" customFormat="1" ht="31.5" customHeight="1">
      <c r="A45" s="225" t="s">
        <v>540</v>
      </c>
      <c r="B45" s="224" t="s">
        <v>555</v>
      </c>
      <c r="C45" s="223">
        <f>C46+C47</f>
        <v>0</v>
      </c>
      <c r="D45" s="223">
        <f>D46+D47</f>
        <v>0</v>
      </c>
      <c r="E45" s="223">
        <f>E46+E47</f>
        <v>0</v>
      </c>
      <c r="F45" s="223">
        <f t="shared" si="4"/>
        <v>0</v>
      </c>
      <c r="G45" s="226"/>
    </row>
    <row r="46" spans="1:10" s="217" customFormat="1" ht="31.5" customHeight="1">
      <c r="A46" s="225" t="s">
        <v>15</v>
      </c>
      <c r="B46" s="224" t="s">
        <v>542</v>
      </c>
      <c r="C46" s="223">
        <v>0</v>
      </c>
      <c r="D46" s="223"/>
      <c r="E46" s="223"/>
      <c r="F46" s="223">
        <f t="shared" si="4"/>
        <v>0</v>
      </c>
      <c r="G46" s="226"/>
    </row>
    <row r="47" spans="1:10" s="217" customFormat="1" ht="48.75" customHeight="1">
      <c r="A47" s="225" t="s">
        <v>25</v>
      </c>
      <c r="B47" s="238" t="s">
        <v>543</v>
      </c>
      <c r="C47" s="223"/>
      <c r="D47" s="223"/>
      <c r="E47" s="223"/>
      <c r="F47" s="223">
        <f t="shared" si="4"/>
        <v>0</v>
      </c>
      <c r="G47" s="226"/>
    </row>
    <row r="48" spans="1:10" s="208" customFormat="1" ht="31.5" customHeight="1">
      <c r="A48" s="225" t="s">
        <v>544</v>
      </c>
      <c r="B48" s="224" t="s">
        <v>554</v>
      </c>
      <c r="C48" s="223">
        <f>C49+C50</f>
        <v>77100</v>
      </c>
      <c r="D48" s="223">
        <f>D49+D50</f>
        <v>8657.4</v>
      </c>
      <c r="E48" s="223">
        <f>E49+E50</f>
        <v>17100</v>
      </c>
      <c r="F48" s="223">
        <f t="shared" si="4"/>
        <v>-60000</v>
      </c>
      <c r="G48" s="226">
        <f>E48/D48</f>
        <v>1.9751888557765611</v>
      </c>
    </row>
    <row r="49" spans="1:256" s="208" customFormat="1" ht="31.5" customHeight="1">
      <c r="A49" s="225" t="s">
        <v>15</v>
      </c>
      <c r="B49" s="224" t="s">
        <v>546</v>
      </c>
      <c r="C49" s="223">
        <f>'PL12'!C40</f>
        <v>68500</v>
      </c>
      <c r="D49" s="223">
        <f>'PL12'!D40</f>
        <v>8657.4</v>
      </c>
      <c r="E49" s="223">
        <f>E36</f>
        <v>7400</v>
      </c>
      <c r="F49" s="223">
        <f t="shared" si="4"/>
        <v>-61100</v>
      </c>
      <c r="G49" s="221">
        <f>E49/D49</f>
        <v>0.85476008963430128</v>
      </c>
    </row>
    <row r="50" spans="1:256" s="208" customFormat="1" ht="31.5" customHeight="1">
      <c r="A50" s="225" t="s">
        <v>25</v>
      </c>
      <c r="B50" s="224" t="s">
        <v>547</v>
      </c>
      <c r="C50" s="223">
        <f>'PL12'!C41</f>
        <v>8600</v>
      </c>
      <c r="D50" s="223">
        <f>'PL12'!D41</f>
        <v>0</v>
      </c>
      <c r="E50" s="222">
        <v>9700</v>
      </c>
      <c r="F50" s="222">
        <f>E50-D50</f>
        <v>9700</v>
      </c>
      <c r="G50" s="221"/>
    </row>
    <row r="51" spans="1:256" ht="15.95" customHeight="1">
      <c r="A51" s="220"/>
      <c r="B51" s="220"/>
      <c r="C51" s="220"/>
      <c r="D51" s="220"/>
      <c r="E51" s="220"/>
      <c r="F51" s="220"/>
      <c r="G51" s="220"/>
    </row>
    <row r="52" spans="1:256" ht="54.75" customHeight="1">
      <c r="A52" s="1046" t="s">
        <v>553</v>
      </c>
      <c r="B52" s="1046"/>
      <c r="C52" s="1046"/>
      <c r="D52" s="1046"/>
      <c r="E52" s="1046"/>
      <c r="F52" s="1046"/>
      <c r="G52" s="1046"/>
    </row>
    <row r="53" spans="1:256" ht="33.75" customHeight="1">
      <c r="A53" s="218"/>
      <c r="B53" s="1046" t="s">
        <v>552</v>
      </c>
      <c r="C53" s="1046"/>
      <c r="D53" s="1046"/>
      <c r="E53" s="1046"/>
      <c r="F53" s="1046"/>
      <c r="G53" s="1046"/>
    </row>
    <row r="54" spans="1:256" ht="15.75" customHeight="1">
      <c r="A54" s="218"/>
      <c r="B54" s="1045" t="s">
        <v>551</v>
      </c>
      <c r="C54" s="1046"/>
      <c r="D54" s="1046"/>
      <c r="E54" s="1046"/>
      <c r="F54" s="1046"/>
      <c r="G54" s="1046"/>
    </row>
    <row r="55" spans="1:256" ht="15.75" customHeight="1">
      <c r="A55" s="218"/>
      <c r="B55" s="1045" t="s">
        <v>550</v>
      </c>
      <c r="C55" s="1046"/>
      <c r="D55" s="1046"/>
      <c r="E55" s="1046"/>
      <c r="F55" s="1046"/>
      <c r="G55" s="1046"/>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18"/>
      <c r="CH55" s="218"/>
      <c r="CI55" s="218"/>
      <c r="CJ55" s="218"/>
      <c r="CK55" s="218"/>
      <c r="CL55" s="218"/>
      <c r="CM55" s="218"/>
      <c r="CN55" s="218"/>
      <c r="CO55" s="218"/>
      <c r="CP55" s="218"/>
      <c r="CQ55" s="218"/>
      <c r="CR55" s="218"/>
      <c r="CS55" s="218"/>
      <c r="CT55" s="218"/>
      <c r="CU55" s="218"/>
      <c r="CV55" s="218"/>
      <c r="CW55" s="218"/>
      <c r="CX55" s="218"/>
      <c r="CY55" s="218"/>
      <c r="CZ55" s="218"/>
      <c r="DA55" s="218"/>
      <c r="DB55" s="218"/>
      <c r="DC55" s="218"/>
      <c r="DD55" s="218"/>
      <c r="DE55" s="218"/>
      <c r="DF55" s="218"/>
      <c r="DG55" s="218"/>
      <c r="DH55" s="218"/>
      <c r="DI55" s="218"/>
      <c r="DJ55" s="218"/>
      <c r="DK55" s="218"/>
      <c r="DL55" s="218"/>
      <c r="DM55" s="218"/>
      <c r="DN55" s="218"/>
      <c r="DO55" s="218"/>
      <c r="DP55" s="218"/>
      <c r="DQ55" s="218"/>
      <c r="DR55" s="218"/>
      <c r="DS55" s="218"/>
      <c r="DT55" s="218"/>
      <c r="DU55" s="218"/>
      <c r="DV55" s="218"/>
      <c r="DW55" s="218"/>
      <c r="DX55" s="218"/>
      <c r="DY55" s="218"/>
      <c r="DZ55" s="218"/>
      <c r="EA55" s="218"/>
      <c r="EB55" s="218"/>
      <c r="EC55" s="218"/>
      <c r="ED55" s="218"/>
      <c r="EE55" s="218"/>
      <c r="EF55" s="218"/>
      <c r="EG55" s="218"/>
      <c r="EH55" s="218"/>
      <c r="EI55" s="218"/>
      <c r="EJ55" s="218"/>
      <c r="EK55" s="218"/>
      <c r="EL55" s="218"/>
      <c r="EM55" s="218"/>
      <c r="EN55" s="218"/>
      <c r="EO55" s="218"/>
      <c r="EP55" s="218"/>
      <c r="EQ55" s="218"/>
      <c r="ER55" s="218"/>
      <c r="ES55" s="218"/>
      <c r="ET55" s="218"/>
      <c r="EU55" s="218"/>
      <c r="EV55" s="218"/>
      <c r="EW55" s="218"/>
      <c r="EX55" s="218"/>
      <c r="EY55" s="218"/>
      <c r="EZ55" s="218"/>
      <c r="FA55" s="218"/>
      <c r="FB55" s="218"/>
      <c r="FC55" s="218"/>
      <c r="FD55" s="218"/>
      <c r="FE55" s="218"/>
      <c r="FF55" s="218"/>
      <c r="FG55" s="218"/>
      <c r="FH55" s="218"/>
      <c r="FI55" s="218"/>
      <c r="FJ55" s="218"/>
      <c r="FK55" s="218"/>
      <c r="FL55" s="218"/>
      <c r="FM55" s="218"/>
      <c r="FN55" s="218"/>
      <c r="FO55" s="218"/>
      <c r="FP55" s="218"/>
      <c r="FQ55" s="218"/>
      <c r="FR55" s="218"/>
      <c r="FS55" s="218"/>
      <c r="FT55" s="218"/>
      <c r="FU55" s="218"/>
      <c r="FV55" s="218"/>
      <c r="FW55" s="218"/>
      <c r="FX55" s="218"/>
      <c r="FY55" s="218"/>
      <c r="FZ55" s="218"/>
      <c r="GA55" s="218"/>
      <c r="GB55" s="218"/>
      <c r="GC55" s="218"/>
      <c r="GD55" s="218"/>
      <c r="GE55" s="218"/>
      <c r="GF55" s="218"/>
      <c r="GG55" s="218"/>
      <c r="GH55" s="218"/>
      <c r="GI55" s="218"/>
      <c r="GJ55" s="218"/>
      <c r="GK55" s="218"/>
      <c r="GL55" s="218"/>
      <c r="GM55" s="218"/>
      <c r="GN55" s="218"/>
      <c r="GO55" s="218"/>
      <c r="GP55" s="218"/>
      <c r="GQ55" s="218"/>
      <c r="GR55" s="218"/>
      <c r="GS55" s="218"/>
      <c r="GT55" s="218"/>
      <c r="GU55" s="218"/>
      <c r="GV55" s="218"/>
      <c r="GW55" s="218"/>
      <c r="GX55" s="218"/>
      <c r="GY55" s="218"/>
      <c r="GZ55" s="218"/>
      <c r="HA55" s="218"/>
      <c r="HB55" s="218"/>
      <c r="HC55" s="218"/>
      <c r="HD55" s="218"/>
      <c r="HE55" s="218"/>
      <c r="HF55" s="218"/>
      <c r="HG55" s="218"/>
      <c r="HH55" s="218"/>
      <c r="HI55" s="218"/>
      <c r="HJ55" s="218"/>
      <c r="HK55" s="218"/>
      <c r="HL55" s="218"/>
      <c r="HM55" s="218"/>
      <c r="HN55" s="218"/>
      <c r="HO55" s="218"/>
      <c r="HP55" s="218"/>
      <c r="HQ55" s="218"/>
      <c r="HR55" s="218"/>
      <c r="HS55" s="218"/>
      <c r="HT55" s="218"/>
      <c r="HU55" s="218"/>
      <c r="HV55" s="218"/>
      <c r="HW55" s="218"/>
      <c r="HX55" s="218"/>
      <c r="HY55" s="218"/>
      <c r="HZ55" s="218"/>
      <c r="IA55" s="218"/>
      <c r="IB55" s="218"/>
      <c r="IC55" s="218"/>
      <c r="ID55" s="218"/>
      <c r="IE55" s="218"/>
      <c r="IF55" s="218"/>
      <c r="IG55" s="218"/>
      <c r="IH55" s="218"/>
      <c r="II55" s="218"/>
      <c r="IJ55" s="218"/>
      <c r="IK55" s="218"/>
      <c r="IL55" s="218"/>
      <c r="IM55" s="218"/>
      <c r="IN55" s="218"/>
      <c r="IO55" s="218"/>
      <c r="IP55" s="218"/>
      <c r="IQ55" s="218"/>
      <c r="IR55" s="218"/>
      <c r="IS55" s="218"/>
      <c r="IT55" s="218"/>
      <c r="IU55" s="218"/>
      <c r="IV55" s="218"/>
    </row>
    <row r="56" spans="1:256" ht="18.75">
      <c r="A56" s="208"/>
      <c r="B56" s="219"/>
      <c r="C56" s="208"/>
      <c r="D56" s="208"/>
      <c r="E56" s="208"/>
      <c r="F56" s="208"/>
      <c r="G56" s="208"/>
    </row>
    <row r="57" spans="1:256" ht="11.25" customHeight="1">
      <c r="A57" s="208"/>
      <c r="B57" s="208"/>
      <c r="C57" s="208"/>
      <c r="D57" s="208"/>
      <c r="E57" s="208"/>
      <c r="F57" s="208"/>
      <c r="G57" s="208"/>
    </row>
    <row r="58" spans="1:256" ht="18.75">
      <c r="A58" s="208"/>
      <c r="B58" s="208"/>
      <c r="C58" s="208"/>
      <c r="D58" s="208"/>
      <c r="E58" s="208"/>
      <c r="F58" s="208"/>
      <c r="G58" s="208"/>
    </row>
    <row r="59" spans="1:256" ht="18.75">
      <c r="A59" s="208"/>
      <c r="B59" s="208"/>
      <c r="C59" s="208"/>
      <c r="D59" s="208"/>
      <c r="E59" s="208"/>
      <c r="F59" s="208"/>
      <c r="G59" s="208"/>
    </row>
    <row r="60" spans="1:256" ht="18.75">
      <c r="A60" s="208"/>
      <c r="B60" s="208"/>
      <c r="C60" s="208"/>
      <c r="D60" s="208"/>
      <c r="E60" s="208"/>
      <c r="F60" s="208"/>
      <c r="G60" s="208"/>
    </row>
    <row r="61" spans="1:256" ht="18.75">
      <c r="A61" s="208"/>
      <c r="B61" s="208"/>
      <c r="C61" s="208"/>
      <c r="D61" s="208"/>
      <c r="E61" s="208"/>
      <c r="F61" s="208"/>
      <c r="G61" s="208"/>
    </row>
    <row r="62" spans="1:256" ht="18.75">
      <c r="A62" s="208"/>
      <c r="B62" s="208"/>
      <c r="C62" s="208"/>
      <c r="D62" s="208"/>
      <c r="E62" s="208"/>
      <c r="F62" s="208"/>
      <c r="G62" s="208"/>
    </row>
    <row r="63" spans="1:256" ht="18.75">
      <c r="A63" s="208"/>
      <c r="B63" s="208"/>
      <c r="C63" s="208"/>
      <c r="D63" s="208"/>
      <c r="E63" s="208"/>
      <c r="F63" s="208"/>
      <c r="G63" s="208"/>
    </row>
    <row r="64" spans="1:256" ht="18.75">
      <c r="A64" s="208"/>
      <c r="B64" s="208"/>
      <c r="C64" s="208"/>
      <c r="D64" s="208"/>
      <c r="E64" s="208"/>
      <c r="F64" s="208"/>
      <c r="G64" s="208"/>
    </row>
    <row r="65" spans="1:7" ht="18.75">
      <c r="A65" s="208"/>
      <c r="B65" s="208"/>
      <c r="C65" s="208"/>
      <c r="D65" s="208"/>
      <c r="E65" s="208"/>
      <c r="F65" s="208"/>
      <c r="G65" s="208"/>
    </row>
    <row r="66" spans="1:7" ht="22.5" customHeight="1">
      <c r="A66" s="208"/>
      <c r="B66" s="208"/>
      <c r="C66" s="208"/>
      <c r="D66" s="208"/>
      <c r="E66" s="208"/>
      <c r="F66" s="208"/>
      <c r="G66" s="208"/>
    </row>
    <row r="67" spans="1:7" ht="18.75">
      <c r="A67" s="208"/>
      <c r="B67" s="208"/>
      <c r="C67" s="208"/>
      <c r="D67" s="208"/>
      <c r="E67" s="208"/>
      <c r="F67" s="208"/>
      <c r="G67" s="208"/>
    </row>
    <row r="68" spans="1:7" ht="18.75">
      <c r="A68" s="208"/>
      <c r="B68" s="208"/>
      <c r="C68" s="208"/>
      <c r="D68" s="208"/>
      <c r="E68" s="208"/>
      <c r="F68" s="208"/>
      <c r="G68" s="208"/>
    </row>
    <row r="69" spans="1:7" ht="18.75">
      <c r="A69" s="208"/>
      <c r="B69" s="208"/>
      <c r="C69" s="208"/>
      <c r="D69" s="208"/>
      <c r="E69" s="208"/>
      <c r="F69" s="208"/>
      <c r="G69" s="208"/>
    </row>
    <row r="70" spans="1:7" ht="18.75">
      <c r="A70" s="208"/>
      <c r="B70" s="208"/>
      <c r="C70" s="208"/>
      <c r="D70" s="208"/>
      <c r="E70" s="208"/>
      <c r="F70" s="208"/>
      <c r="G70" s="208"/>
    </row>
  </sheetData>
  <mergeCells count="16">
    <mergeCell ref="B55:G55"/>
    <mergeCell ref="B54:G54"/>
    <mergeCell ref="C5:C7"/>
    <mergeCell ref="D5:D7"/>
    <mergeCell ref="E5:E7"/>
    <mergeCell ref="F6:F7"/>
    <mergeCell ref="G6:G7"/>
    <mergeCell ref="A52:G52"/>
    <mergeCell ref="B53:G53"/>
    <mergeCell ref="E4:G4"/>
    <mergeCell ref="F1:G1"/>
    <mergeCell ref="F5:G5"/>
    <mergeCell ref="A5:A7"/>
    <mergeCell ref="B5:B7"/>
    <mergeCell ref="A2:G2"/>
    <mergeCell ref="A3:G3"/>
  </mergeCells>
  <printOptions horizontalCentered="1"/>
  <pageMargins left="0.31" right="0.38" top="0.61" bottom="0.39" header="0.17" footer="0.2"/>
  <pageSetup paperSize="9" scale="69" fitToHeight="5" orientation="portrait" r:id="rId1"/>
  <headerFooter alignWithMargins="0">
    <oddHeader xml:space="preserve">&amp;C                                                                                                                                  </oddHeader>
    <oddFooter>&amp;C&amp;".VnTime,  Italic"&amp;8
&amp;".VnTime,Regular"&amp;12&amp;P/&amp;N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81"/>
  <sheetViews>
    <sheetView showZeros="0" zoomScale="80" zoomScaleNormal="80" workbookViewId="0">
      <pane xSplit="2" ySplit="8" topLeftCell="C9" activePane="bottomRight" state="frozen"/>
      <selection activeCell="D18" sqref="D18"/>
      <selection pane="topRight" activeCell="D18" sqref="D18"/>
      <selection pane="bottomLeft" activeCell="D18" sqref="D18"/>
      <selection pane="bottomRight" activeCell="I3" sqref="I3"/>
    </sheetView>
  </sheetViews>
  <sheetFormatPr defaultRowHeight="15.75" outlineLevelRow="1" outlineLevelCol="1"/>
  <cols>
    <col min="1" max="1" width="5.85546875" style="212" customWidth="1"/>
    <col min="2" max="2" width="65.85546875" style="241" customWidth="1"/>
    <col min="3" max="6" width="14.7109375" style="212" customWidth="1"/>
    <col min="7" max="8" width="12.7109375" style="212" customWidth="1"/>
    <col min="9" max="9" width="20.42578125" style="212" customWidth="1"/>
    <col min="10" max="11" width="10.28515625" style="212" hidden="1" customWidth="1" outlineLevel="1"/>
    <col min="12" max="13" width="14.42578125" style="212" hidden="1" customWidth="1" outlineLevel="1"/>
    <col min="14" max="14" width="15.5703125" style="212" hidden="1" customWidth="1" outlineLevel="1"/>
    <col min="15" max="15" width="10.28515625" style="212" hidden="1" customWidth="1" outlineLevel="1"/>
    <col min="16" max="16" width="13" style="212" customWidth="1" collapsed="1"/>
    <col min="17" max="17" width="12.7109375" style="212" bestFit="1" customWidth="1"/>
    <col min="18" max="256" width="9.140625" style="212"/>
    <col min="257" max="257" width="5.85546875" style="212" customWidth="1"/>
    <col min="258" max="258" width="65.85546875" style="212" customWidth="1"/>
    <col min="259" max="262" width="14.7109375" style="212" customWidth="1"/>
    <col min="263" max="264" width="12.7109375" style="212" customWidth="1"/>
    <col min="265" max="265" width="20.42578125" style="212" customWidth="1"/>
    <col min="266" max="271" width="0" style="212" hidden="1" customWidth="1"/>
    <col min="272" max="272" width="13" style="212" customWidth="1"/>
    <col min="273" max="273" width="12.7109375" style="212" bestFit="1" customWidth="1"/>
    <col min="274" max="512" width="9.140625" style="212"/>
    <col min="513" max="513" width="5.85546875" style="212" customWidth="1"/>
    <col min="514" max="514" width="65.85546875" style="212" customWidth="1"/>
    <col min="515" max="518" width="14.7109375" style="212" customWidth="1"/>
    <col min="519" max="520" width="12.7109375" style="212" customWidth="1"/>
    <col min="521" max="521" width="20.42578125" style="212" customWidth="1"/>
    <col min="522" max="527" width="0" style="212" hidden="1" customWidth="1"/>
    <col min="528" max="528" width="13" style="212" customWidth="1"/>
    <col min="529" max="529" width="12.7109375" style="212" bestFit="1" customWidth="1"/>
    <col min="530" max="768" width="9.140625" style="212"/>
    <col min="769" max="769" width="5.85546875" style="212" customWidth="1"/>
    <col min="770" max="770" width="65.85546875" style="212" customWidth="1"/>
    <col min="771" max="774" width="14.7109375" style="212" customWidth="1"/>
    <col min="775" max="776" width="12.7109375" style="212" customWidth="1"/>
    <col min="777" max="777" width="20.42578125" style="212" customWidth="1"/>
    <col min="778" max="783" width="0" style="212" hidden="1" customWidth="1"/>
    <col min="784" max="784" width="13" style="212" customWidth="1"/>
    <col min="785" max="785" width="12.7109375" style="212" bestFit="1" customWidth="1"/>
    <col min="786" max="1024" width="9.140625" style="212"/>
    <col min="1025" max="1025" width="5.85546875" style="212" customWidth="1"/>
    <col min="1026" max="1026" width="65.85546875" style="212" customWidth="1"/>
    <col min="1027" max="1030" width="14.7109375" style="212" customWidth="1"/>
    <col min="1031" max="1032" width="12.7109375" style="212" customWidth="1"/>
    <col min="1033" max="1033" width="20.42578125" style="212" customWidth="1"/>
    <col min="1034" max="1039" width="0" style="212" hidden="1" customWidth="1"/>
    <col min="1040" max="1040" width="13" style="212" customWidth="1"/>
    <col min="1041" max="1041" width="12.7109375" style="212" bestFit="1" customWidth="1"/>
    <col min="1042" max="1280" width="9.140625" style="212"/>
    <col min="1281" max="1281" width="5.85546875" style="212" customWidth="1"/>
    <col min="1282" max="1282" width="65.85546875" style="212" customWidth="1"/>
    <col min="1283" max="1286" width="14.7109375" style="212" customWidth="1"/>
    <col min="1287" max="1288" width="12.7109375" style="212" customWidth="1"/>
    <col min="1289" max="1289" width="20.42578125" style="212" customWidth="1"/>
    <col min="1290" max="1295" width="0" style="212" hidden="1" customWidth="1"/>
    <col min="1296" max="1296" width="13" style="212" customWidth="1"/>
    <col min="1297" max="1297" width="12.7109375" style="212" bestFit="1" customWidth="1"/>
    <col min="1298" max="1536" width="9.140625" style="212"/>
    <col min="1537" max="1537" width="5.85546875" style="212" customWidth="1"/>
    <col min="1538" max="1538" width="65.85546875" style="212" customWidth="1"/>
    <col min="1539" max="1542" width="14.7109375" style="212" customWidth="1"/>
    <col min="1543" max="1544" width="12.7109375" style="212" customWidth="1"/>
    <col min="1545" max="1545" width="20.42578125" style="212" customWidth="1"/>
    <col min="1546" max="1551" width="0" style="212" hidden="1" customWidth="1"/>
    <col min="1552" max="1552" width="13" style="212" customWidth="1"/>
    <col min="1553" max="1553" width="12.7109375" style="212" bestFit="1" customWidth="1"/>
    <col min="1554" max="1792" width="9.140625" style="212"/>
    <col min="1793" max="1793" width="5.85546875" style="212" customWidth="1"/>
    <col min="1794" max="1794" width="65.85546875" style="212" customWidth="1"/>
    <col min="1795" max="1798" width="14.7109375" style="212" customWidth="1"/>
    <col min="1799" max="1800" width="12.7109375" style="212" customWidth="1"/>
    <col min="1801" max="1801" width="20.42578125" style="212" customWidth="1"/>
    <col min="1802" max="1807" width="0" style="212" hidden="1" customWidth="1"/>
    <col min="1808" max="1808" width="13" style="212" customWidth="1"/>
    <col min="1809" max="1809" width="12.7109375" style="212" bestFit="1" customWidth="1"/>
    <col min="1810" max="2048" width="9.140625" style="212"/>
    <col min="2049" max="2049" width="5.85546875" style="212" customWidth="1"/>
    <col min="2050" max="2050" width="65.85546875" style="212" customWidth="1"/>
    <col min="2051" max="2054" width="14.7109375" style="212" customWidth="1"/>
    <col min="2055" max="2056" width="12.7109375" style="212" customWidth="1"/>
    <col min="2057" max="2057" width="20.42578125" style="212" customWidth="1"/>
    <col min="2058" max="2063" width="0" style="212" hidden="1" customWidth="1"/>
    <col min="2064" max="2064" width="13" style="212" customWidth="1"/>
    <col min="2065" max="2065" width="12.7109375" style="212" bestFit="1" customWidth="1"/>
    <col min="2066" max="2304" width="9.140625" style="212"/>
    <col min="2305" max="2305" width="5.85546875" style="212" customWidth="1"/>
    <col min="2306" max="2306" width="65.85546875" style="212" customWidth="1"/>
    <col min="2307" max="2310" width="14.7109375" style="212" customWidth="1"/>
    <col min="2311" max="2312" width="12.7109375" style="212" customWidth="1"/>
    <col min="2313" max="2313" width="20.42578125" style="212" customWidth="1"/>
    <col min="2314" max="2319" width="0" style="212" hidden="1" customWidth="1"/>
    <col min="2320" max="2320" width="13" style="212" customWidth="1"/>
    <col min="2321" max="2321" width="12.7109375" style="212" bestFit="1" customWidth="1"/>
    <col min="2322" max="2560" width="9.140625" style="212"/>
    <col min="2561" max="2561" width="5.85546875" style="212" customWidth="1"/>
    <col min="2562" max="2562" width="65.85546875" style="212" customWidth="1"/>
    <col min="2563" max="2566" width="14.7109375" style="212" customWidth="1"/>
    <col min="2567" max="2568" width="12.7109375" style="212" customWidth="1"/>
    <col min="2569" max="2569" width="20.42578125" style="212" customWidth="1"/>
    <col min="2570" max="2575" width="0" style="212" hidden="1" customWidth="1"/>
    <col min="2576" max="2576" width="13" style="212" customWidth="1"/>
    <col min="2577" max="2577" width="12.7109375" style="212" bestFit="1" customWidth="1"/>
    <col min="2578" max="2816" width="9.140625" style="212"/>
    <col min="2817" max="2817" width="5.85546875" style="212" customWidth="1"/>
    <col min="2818" max="2818" width="65.85546875" style="212" customWidth="1"/>
    <col min="2819" max="2822" width="14.7109375" style="212" customWidth="1"/>
    <col min="2823" max="2824" width="12.7109375" style="212" customWidth="1"/>
    <col min="2825" max="2825" width="20.42578125" style="212" customWidth="1"/>
    <col min="2826" max="2831" width="0" style="212" hidden="1" customWidth="1"/>
    <col min="2832" max="2832" width="13" style="212" customWidth="1"/>
    <col min="2833" max="2833" width="12.7109375" style="212" bestFit="1" customWidth="1"/>
    <col min="2834" max="3072" width="9.140625" style="212"/>
    <col min="3073" max="3073" width="5.85546875" style="212" customWidth="1"/>
    <col min="3074" max="3074" width="65.85546875" style="212" customWidth="1"/>
    <col min="3075" max="3078" width="14.7109375" style="212" customWidth="1"/>
    <col min="3079" max="3080" width="12.7109375" style="212" customWidth="1"/>
    <col min="3081" max="3081" width="20.42578125" style="212" customWidth="1"/>
    <col min="3082" max="3087" width="0" style="212" hidden="1" customWidth="1"/>
    <col min="3088" max="3088" width="13" style="212" customWidth="1"/>
    <col min="3089" max="3089" width="12.7109375" style="212" bestFit="1" customWidth="1"/>
    <col min="3090" max="3328" width="9.140625" style="212"/>
    <col min="3329" max="3329" width="5.85546875" style="212" customWidth="1"/>
    <col min="3330" max="3330" width="65.85546875" style="212" customWidth="1"/>
    <col min="3331" max="3334" width="14.7109375" style="212" customWidth="1"/>
    <col min="3335" max="3336" width="12.7109375" style="212" customWidth="1"/>
    <col min="3337" max="3337" width="20.42578125" style="212" customWidth="1"/>
    <col min="3338" max="3343" width="0" style="212" hidden="1" customWidth="1"/>
    <col min="3344" max="3344" width="13" style="212" customWidth="1"/>
    <col min="3345" max="3345" width="12.7109375" style="212" bestFit="1" customWidth="1"/>
    <col min="3346" max="3584" width="9.140625" style="212"/>
    <col min="3585" max="3585" width="5.85546875" style="212" customWidth="1"/>
    <col min="3586" max="3586" width="65.85546875" style="212" customWidth="1"/>
    <col min="3587" max="3590" width="14.7109375" style="212" customWidth="1"/>
    <col min="3591" max="3592" width="12.7109375" style="212" customWidth="1"/>
    <col min="3593" max="3593" width="20.42578125" style="212" customWidth="1"/>
    <col min="3594" max="3599" width="0" style="212" hidden="1" customWidth="1"/>
    <col min="3600" max="3600" width="13" style="212" customWidth="1"/>
    <col min="3601" max="3601" width="12.7109375" style="212" bestFit="1" customWidth="1"/>
    <col min="3602" max="3840" width="9.140625" style="212"/>
    <col min="3841" max="3841" width="5.85546875" style="212" customWidth="1"/>
    <col min="3842" max="3842" width="65.85546875" style="212" customWidth="1"/>
    <col min="3843" max="3846" width="14.7109375" style="212" customWidth="1"/>
    <col min="3847" max="3848" width="12.7109375" style="212" customWidth="1"/>
    <col min="3849" max="3849" width="20.42578125" style="212" customWidth="1"/>
    <col min="3850" max="3855" width="0" style="212" hidden="1" customWidth="1"/>
    <col min="3856" max="3856" width="13" style="212" customWidth="1"/>
    <col min="3857" max="3857" width="12.7109375" style="212" bestFit="1" customWidth="1"/>
    <col min="3858" max="4096" width="9.140625" style="212"/>
    <col min="4097" max="4097" width="5.85546875" style="212" customWidth="1"/>
    <col min="4098" max="4098" width="65.85546875" style="212" customWidth="1"/>
    <col min="4099" max="4102" width="14.7109375" style="212" customWidth="1"/>
    <col min="4103" max="4104" width="12.7109375" style="212" customWidth="1"/>
    <col min="4105" max="4105" width="20.42578125" style="212" customWidth="1"/>
    <col min="4106" max="4111" width="0" style="212" hidden="1" customWidth="1"/>
    <col min="4112" max="4112" width="13" style="212" customWidth="1"/>
    <col min="4113" max="4113" width="12.7109375" style="212" bestFit="1" customWidth="1"/>
    <col min="4114" max="4352" width="9.140625" style="212"/>
    <col min="4353" max="4353" width="5.85546875" style="212" customWidth="1"/>
    <col min="4354" max="4354" width="65.85546875" style="212" customWidth="1"/>
    <col min="4355" max="4358" width="14.7109375" style="212" customWidth="1"/>
    <col min="4359" max="4360" width="12.7109375" style="212" customWidth="1"/>
    <col min="4361" max="4361" width="20.42578125" style="212" customWidth="1"/>
    <col min="4362" max="4367" width="0" style="212" hidden="1" customWidth="1"/>
    <col min="4368" max="4368" width="13" style="212" customWidth="1"/>
    <col min="4369" max="4369" width="12.7109375" style="212" bestFit="1" customWidth="1"/>
    <col min="4370" max="4608" width="9.140625" style="212"/>
    <col min="4609" max="4609" width="5.85546875" style="212" customWidth="1"/>
    <col min="4610" max="4610" width="65.85546875" style="212" customWidth="1"/>
    <col min="4611" max="4614" width="14.7109375" style="212" customWidth="1"/>
    <col min="4615" max="4616" width="12.7109375" style="212" customWidth="1"/>
    <col min="4617" max="4617" width="20.42578125" style="212" customWidth="1"/>
    <col min="4618" max="4623" width="0" style="212" hidden="1" customWidth="1"/>
    <col min="4624" max="4624" width="13" style="212" customWidth="1"/>
    <col min="4625" max="4625" width="12.7109375" style="212" bestFit="1" customWidth="1"/>
    <col min="4626" max="4864" width="9.140625" style="212"/>
    <col min="4865" max="4865" width="5.85546875" style="212" customWidth="1"/>
    <col min="4866" max="4866" width="65.85546875" style="212" customWidth="1"/>
    <col min="4867" max="4870" width="14.7109375" style="212" customWidth="1"/>
    <col min="4871" max="4872" width="12.7109375" style="212" customWidth="1"/>
    <col min="4873" max="4873" width="20.42578125" style="212" customWidth="1"/>
    <col min="4874" max="4879" width="0" style="212" hidden="1" customWidth="1"/>
    <col min="4880" max="4880" width="13" style="212" customWidth="1"/>
    <col min="4881" max="4881" width="12.7109375" style="212" bestFit="1" customWidth="1"/>
    <col min="4882" max="5120" width="9.140625" style="212"/>
    <col min="5121" max="5121" width="5.85546875" style="212" customWidth="1"/>
    <col min="5122" max="5122" width="65.85546875" style="212" customWidth="1"/>
    <col min="5123" max="5126" width="14.7109375" style="212" customWidth="1"/>
    <col min="5127" max="5128" width="12.7109375" style="212" customWidth="1"/>
    <col min="5129" max="5129" width="20.42578125" style="212" customWidth="1"/>
    <col min="5130" max="5135" width="0" style="212" hidden="1" customWidth="1"/>
    <col min="5136" max="5136" width="13" style="212" customWidth="1"/>
    <col min="5137" max="5137" width="12.7109375" style="212" bestFit="1" customWidth="1"/>
    <col min="5138" max="5376" width="9.140625" style="212"/>
    <col min="5377" max="5377" width="5.85546875" style="212" customWidth="1"/>
    <col min="5378" max="5378" width="65.85546875" style="212" customWidth="1"/>
    <col min="5379" max="5382" width="14.7109375" style="212" customWidth="1"/>
    <col min="5383" max="5384" width="12.7109375" style="212" customWidth="1"/>
    <col min="5385" max="5385" width="20.42578125" style="212" customWidth="1"/>
    <col min="5386" max="5391" width="0" style="212" hidden="1" customWidth="1"/>
    <col min="5392" max="5392" width="13" style="212" customWidth="1"/>
    <col min="5393" max="5393" width="12.7109375" style="212" bestFit="1" customWidth="1"/>
    <col min="5394" max="5632" width="9.140625" style="212"/>
    <col min="5633" max="5633" width="5.85546875" style="212" customWidth="1"/>
    <col min="5634" max="5634" width="65.85546875" style="212" customWidth="1"/>
    <col min="5635" max="5638" width="14.7109375" style="212" customWidth="1"/>
    <col min="5639" max="5640" width="12.7109375" style="212" customWidth="1"/>
    <col min="5641" max="5641" width="20.42578125" style="212" customWidth="1"/>
    <col min="5642" max="5647" width="0" style="212" hidden="1" customWidth="1"/>
    <col min="5648" max="5648" width="13" style="212" customWidth="1"/>
    <col min="5649" max="5649" width="12.7109375" style="212" bestFit="1" customWidth="1"/>
    <col min="5650" max="5888" width="9.140625" style="212"/>
    <col min="5889" max="5889" width="5.85546875" style="212" customWidth="1"/>
    <col min="5890" max="5890" width="65.85546875" style="212" customWidth="1"/>
    <col min="5891" max="5894" width="14.7109375" style="212" customWidth="1"/>
    <col min="5895" max="5896" width="12.7109375" style="212" customWidth="1"/>
    <col min="5897" max="5897" width="20.42578125" style="212" customWidth="1"/>
    <col min="5898" max="5903" width="0" style="212" hidden="1" customWidth="1"/>
    <col min="5904" max="5904" width="13" style="212" customWidth="1"/>
    <col min="5905" max="5905" width="12.7109375" style="212" bestFit="1" customWidth="1"/>
    <col min="5906" max="6144" width="9.140625" style="212"/>
    <col min="6145" max="6145" width="5.85546875" style="212" customWidth="1"/>
    <col min="6146" max="6146" width="65.85546875" style="212" customWidth="1"/>
    <col min="6147" max="6150" width="14.7109375" style="212" customWidth="1"/>
    <col min="6151" max="6152" width="12.7109375" style="212" customWidth="1"/>
    <col min="6153" max="6153" width="20.42578125" style="212" customWidth="1"/>
    <col min="6154" max="6159" width="0" style="212" hidden="1" customWidth="1"/>
    <col min="6160" max="6160" width="13" style="212" customWidth="1"/>
    <col min="6161" max="6161" width="12.7109375" style="212" bestFit="1" customWidth="1"/>
    <col min="6162" max="6400" width="9.140625" style="212"/>
    <col min="6401" max="6401" width="5.85546875" style="212" customWidth="1"/>
    <col min="6402" max="6402" width="65.85546875" style="212" customWidth="1"/>
    <col min="6403" max="6406" width="14.7109375" style="212" customWidth="1"/>
    <col min="6407" max="6408" width="12.7109375" style="212" customWidth="1"/>
    <col min="6409" max="6409" width="20.42578125" style="212" customWidth="1"/>
    <col min="6410" max="6415" width="0" style="212" hidden="1" customWidth="1"/>
    <col min="6416" max="6416" width="13" style="212" customWidth="1"/>
    <col min="6417" max="6417" width="12.7109375" style="212" bestFit="1" customWidth="1"/>
    <col min="6418" max="6656" width="9.140625" style="212"/>
    <col min="6657" max="6657" width="5.85546875" style="212" customWidth="1"/>
    <col min="6658" max="6658" width="65.85546875" style="212" customWidth="1"/>
    <col min="6659" max="6662" width="14.7109375" style="212" customWidth="1"/>
    <col min="6663" max="6664" width="12.7109375" style="212" customWidth="1"/>
    <col min="6665" max="6665" width="20.42578125" style="212" customWidth="1"/>
    <col min="6666" max="6671" width="0" style="212" hidden="1" customWidth="1"/>
    <col min="6672" max="6672" width="13" style="212" customWidth="1"/>
    <col min="6673" max="6673" width="12.7109375" style="212" bestFit="1" customWidth="1"/>
    <col min="6674" max="6912" width="9.140625" style="212"/>
    <col min="6913" max="6913" width="5.85546875" style="212" customWidth="1"/>
    <col min="6914" max="6914" width="65.85546875" style="212" customWidth="1"/>
    <col min="6915" max="6918" width="14.7109375" style="212" customWidth="1"/>
    <col min="6919" max="6920" width="12.7109375" style="212" customWidth="1"/>
    <col min="6921" max="6921" width="20.42578125" style="212" customWidth="1"/>
    <col min="6922" max="6927" width="0" style="212" hidden="1" customWidth="1"/>
    <col min="6928" max="6928" width="13" style="212" customWidth="1"/>
    <col min="6929" max="6929" width="12.7109375" style="212" bestFit="1" customWidth="1"/>
    <col min="6930" max="7168" width="9.140625" style="212"/>
    <col min="7169" max="7169" width="5.85546875" style="212" customWidth="1"/>
    <col min="7170" max="7170" width="65.85546875" style="212" customWidth="1"/>
    <col min="7171" max="7174" width="14.7109375" style="212" customWidth="1"/>
    <col min="7175" max="7176" width="12.7109375" style="212" customWidth="1"/>
    <col min="7177" max="7177" width="20.42578125" style="212" customWidth="1"/>
    <col min="7178" max="7183" width="0" style="212" hidden="1" customWidth="1"/>
    <col min="7184" max="7184" width="13" style="212" customWidth="1"/>
    <col min="7185" max="7185" width="12.7109375" style="212" bestFit="1" customWidth="1"/>
    <col min="7186" max="7424" width="9.140625" style="212"/>
    <col min="7425" max="7425" width="5.85546875" style="212" customWidth="1"/>
    <col min="7426" max="7426" width="65.85546875" style="212" customWidth="1"/>
    <col min="7427" max="7430" width="14.7109375" style="212" customWidth="1"/>
    <col min="7431" max="7432" width="12.7109375" style="212" customWidth="1"/>
    <col min="7433" max="7433" width="20.42578125" style="212" customWidth="1"/>
    <col min="7434" max="7439" width="0" style="212" hidden="1" customWidth="1"/>
    <col min="7440" max="7440" width="13" style="212" customWidth="1"/>
    <col min="7441" max="7441" width="12.7109375" style="212" bestFit="1" customWidth="1"/>
    <col min="7442" max="7680" width="9.140625" style="212"/>
    <col min="7681" max="7681" width="5.85546875" style="212" customWidth="1"/>
    <col min="7682" max="7682" width="65.85546875" style="212" customWidth="1"/>
    <col min="7683" max="7686" width="14.7109375" style="212" customWidth="1"/>
    <col min="7687" max="7688" width="12.7109375" style="212" customWidth="1"/>
    <col min="7689" max="7689" width="20.42578125" style="212" customWidth="1"/>
    <col min="7690" max="7695" width="0" style="212" hidden="1" customWidth="1"/>
    <col min="7696" max="7696" width="13" style="212" customWidth="1"/>
    <col min="7697" max="7697" width="12.7109375" style="212" bestFit="1" customWidth="1"/>
    <col min="7698" max="7936" width="9.140625" style="212"/>
    <col min="7937" max="7937" width="5.85546875" style="212" customWidth="1"/>
    <col min="7938" max="7938" width="65.85546875" style="212" customWidth="1"/>
    <col min="7939" max="7942" width="14.7109375" style="212" customWidth="1"/>
    <col min="7943" max="7944" width="12.7109375" style="212" customWidth="1"/>
    <col min="7945" max="7945" width="20.42578125" style="212" customWidth="1"/>
    <col min="7946" max="7951" width="0" style="212" hidden="1" customWidth="1"/>
    <col min="7952" max="7952" width="13" style="212" customWidth="1"/>
    <col min="7953" max="7953" width="12.7109375" style="212" bestFit="1" customWidth="1"/>
    <col min="7954" max="8192" width="9.140625" style="212"/>
    <col min="8193" max="8193" width="5.85546875" style="212" customWidth="1"/>
    <col min="8194" max="8194" width="65.85546875" style="212" customWidth="1"/>
    <col min="8195" max="8198" width="14.7109375" style="212" customWidth="1"/>
    <col min="8199" max="8200" width="12.7109375" style="212" customWidth="1"/>
    <col min="8201" max="8201" width="20.42578125" style="212" customWidth="1"/>
    <col min="8202" max="8207" width="0" style="212" hidden="1" customWidth="1"/>
    <col min="8208" max="8208" width="13" style="212" customWidth="1"/>
    <col min="8209" max="8209" width="12.7109375" style="212" bestFit="1" customWidth="1"/>
    <col min="8210" max="8448" width="9.140625" style="212"/>
    <col min="8449" max="8449" width="5.85546875" style="212" customWidth="1"/>
    <col min="8450" max="8450" width="65.85546875" style="212" customWidth="1"/>
    <col min="8451" max="8454" width="14.7109375" style="212" customWidth="1"/>
    <col min="8455" max="8456" width="12.7109375" style="212" customWidth="1"/>
    <col min="8457" max="8457" width="20.42578125" style="212" customWidth="1"/>
    <col min="8458" max="8463" width="0" style="212" hidden="1" customWidth="1"/>
    <col min="8464" max="8464" width="13" style="212" customWidth="1"/>
    <col min="8465" max="8465" width="12.7109375" style="212" bestFit="1" customWidth="1"/>
    <col min="8466" max="8704" width="9.140625" style="212"/>
    <col min="8705" max="8705" width="5.85546875" style="212" customWidth="1"/>
    <col min="8706" max="8706" width="65.85546875" style="212" customWidth="1"/>
    <col min="8707" max="8710" width="14.7109375" style="212" customWidth="1"/>
    <col min="8711" max="8712" width="12.7109375" style="212" customWidth="1"/>
    <col min="8713" max="8713" width="20.42578125" style="212" customWidth="1"/>
    <col min="8714" max="8719" width="0" style="212" hidden="1" customWidth="1"/>
    <col min="8720" max="8720" width="13" style="212" customWidth="1"/>
    <col min="8721" max="8721" width="12.7109375" style="212" bestFit="1" customWidth="1"/>
    <col min="8722" max="8960" width="9.140625" style="212"/>
    <col min="8961" max="8961" width="5.85546875" style="212" customWidth="1"/>
    <col min="8962" max="8962" width="65.85546875" style="212" customWidth="1"/>
    <col min="8963" max="8966" width="14.7109375" style="212" customWidth="1"/>
    <col min="8967" max="8968" width="12.7109375" style="212" customWidth="1"/>
    <col min="8969" max="8969" width="20.42578125" style="212" customWidth="1"/>
    <col min="8970" max="8975" width="0" style="212" hidden="1" customWidth="1"/>
    <col min="8976" max="8976" width="13" style="212" customWidth="1"/>
    <col min="8977" max="8977" width="12.7109375" style="212" bestFit="1" customWidth="1"/>
    <col min="8978" max="9216" width="9.140625" style="212"/>
    <col min="9217" max="9217" width="5.85546875" style="212" customWidth="1"/>
    <col min="9218" max="9218" width="65.85546875" style="212" customWidth="1"/>
    <col min="9219" max="9222" width="14.7109375" style="212" customWidth="1"/>
    <col min="9223" max="9224" width="12.7109375" style="212" customWidth="1"/>
    <col min="9225" max="9225" width="20.42578125" style="212" customWidth="1"/>
    <col min="9226" max="9231" width="0" style="212" hidden="1" customWidth="1"/>
    <col min="9232" max="9232" width="13" style="212" customWidth="1"/>
    <col min="9233" max="9233" width="12.7109375" style="212" bestFit="1" customWidth="1"/>
    <col min="9234" max="9472" width="9.140625" style="212"/>
    <col min="9473" max="9473" width="5.85546875" style="212" customWidth="1"/>
    <col min="9474" max="9474" width="65.85546875" style="212" customWidth="1"/>
    <col min="9475" max="9478" width="14.7109375" style="212" customWidth="1"/>
    <col min="9479" max="9480" width="12.7109375" style="212" customWidth="1"/>
    <col min="9481" max="9481" width="20.42578125" style="212" customWidth="1"/>
    <col min="9482" max="9487" width="0" style="212" hidden="1" customWidth="1"/>
    <col min="9488" max="9488" width="13" style="212" customWidth="1"/>
    <col min="9489" max="9489" width="12.7109375" style="212" bestFit="1" customWidth="1"/>
    <col min="9490" max="9728" width="9.140625" style="212"/>
    <col min="9729" max="9729" width="5.85546875" style="212" customWidth="1"/>
    <col min="9730" max="9730" width="65.85546875" style="212" customWidth="1"/>
    <col min="9731" max="9734" width="14.7109375" style="212" customWidth="1"/>
    <col min="9735" max="9736" width="12.7109375" style="212" customWidth="1"/>
    <col min="9737" max="9737" width="20.42578125" style="212" customWidth="1"/>
    <col min="9738" max="9743" width="0" style="212" hidden="1" customWidth="1"/>
    <col min="9744" max="9744" width="13" style="212" customWidth="1"/>
    <col min="9745" max="9745" width="12.7109375" style="212" bestFit="1" customWidth="1"/>
    <col min="9746" max="9984" width="9.140625" style="212"/>
    <col min="9985" max="9985" width="5.85546875" style="212" customWidth="1"/>
    <col min="9986" max="9986" width="65.85546875" style="212" customWidth="1"/>
    <col min="9987" max="9990" width="14.7109375" style="212" customWidth="1"/>
    <col min="9991" max="9992" width="12.7109375" style="212" customWidth="1"/>
    <col min="9993" max="9993" width="20.42578125" style="212" customWidth="1"/>
    <col min="9994" max="9999" width="0" style="212" hidden="1" customWidth="1"/>
    <col min="10000" max="10000" width="13" style="212" customWidth="1"/>
    <col min="10001" max="10001" width="12.7109375" style="212" bestFit="1" customWidth="1"/>
    <col min="10002" max="10240" width="9.140625" style="212"/>
    <col min="10241" max="10241" width="5.85546875" style="212" customWidth="1"/>
    <col min="10242" max="10242" width="65.85546875" style="212" customWidth="1"/>
    <col min="10243" max="10246" width="14.7109375" style="212" customWidth="1"/>
    <col min="10247" max="10248" width="12.7109375" style="212" customWidth="1"/>
    <col min="10249" max="10249" width="20.42578125" style="212" customWidth="1"/>
    <col min="10250" max="10255" width="0" style="212" hidden="1" customWidth="1"/>
    <col min="10256" max="10256" width="13" style="212" customWidth="1"/>
    <col min="10257" max="10257" width="12.7109375" style="212" bestFit="1" customWidth="1"/>
    <col min="10258" max="10496" width="9.140625" style="212"/>
    <col min="10497" max="10497" width="5.85546875" style="212" customWidth="1"/>
    <col min="10498" max="10498" width="65.85546875" style="212" customWidth="1"/>
    <col min="10499" max="10502" width="14.7109375" style="212" customWidth="1"/>
    <col min="10503" max="10504" width="12.7109375" style="212" customWidth="1"/>
    <col min="10505" max="10505" width="20.42578125" style="212" customWidth="1"/>
    <col min="10506" max="10511" width="0" style="212" hidden="1" customWidth="1"/>
    <col min="10512" max="10512" width="13" style="212" customWidth="1"/>
    <col min="10513" max="10513" width="12.7109375" style="212" bestFit="1" customWidth="1"/>
    <col min="10514" max="10752" width="9.140625" style="212"/>
    <col min="10753" max="10753" width="5.85546875" style="212" customWidth="1"/>
    <col min="10754" max="10754" width="65.85546875" style="212" customWidth="1"/>
    <col min="10755" max="10758" width="14.7109375" style="212" customWidth="1"/>
    <col min="10759" max="10760" width="12.7109375" style="212" customWidth="1"/>
    <col min="10761" max="10761" width="20.42578125" style="212" customWidth="1"/>
    <col min="10762" max="10767" width="0" style="212" hidden="1" customWidth="1"/>
    <col min="10768" max="10768" width="13" style="212" customWidth="1"/>
    <col min="10769" max="10769" width="12.7109375" style="212" bestFit="1" customWidth="1"/>
    <col min="10770" max="11008" width="9.140625" style="212"/>
    <col min="11009" max="11009" width="5.85546875" style="212" customWidth="1"/>
    <col min="11010" max="11010" width="65.85546875" style="212" customWidth="1"/>
    <col min="11011" max="11014" width="14.7109375" style="212" customWidth="1"/>
    <col min="11015" max="11016" width="12.7109375" style="212" customWidth="1"/>
    <col min="11017" max="11017" width="20.42578125" style="212" customWidth="1"/>
    <col min="11018" max="11023" width="0" style="212" hidden="1" customWidth="1"/>
    <col min="11024" max="11024" width="13" style="212" customWidth="1"/>
    <col min="11025" max="11025" width="12.7109375" style="212" bestFit="1" customWidth="1"/>
    <col min="11026" max="11264" width="9.140625" style="212"/>
    <col min="11265" max="11265" width="5.85546875" style="212" customWidth="1"/>
    <col min="11266" max="11266" width="65.85546875" style="212" customWidth="1"/>
    <col min="11267" max="11270" width="14.7109375" style="212" customWidth="1"/>
    <col min="11271" max="11272" width="12.7109375" style="212" customWidth="1"/>
    <col min="11273" max="11273" width="20.42578125" style="212" customWidth="1"/>
    <col min="11274" max="11279" width="0" style="212" hidden="1" customWidth="1"/>
    <col min="11280" max="11280" width="13" style="212" customWidth="1"/>
    <col min="11281" max="11281" width="12.7109375" style="212" bestFit="1" customWidth="1"/>
    <col min="11282" max="11520" width="9.140625" style="212"/>
    <col min="11521" max="11521" width="5.85546875" style="212" customWidth="1"/>
    <col min="11522" max="11522" width="65.85546875" style="212" customWidth="1"/>
    <col min="11523" max="11526" width="14.7109375" style="212" customWidth="1"/>
    <col min="11527" max="11528" width="12.7109375" style="212" customWidth="1"/>
    <col min="11529" max="11529" width="20.42578125" style="212" customWidth="1"/>
    <col min="11530" max="11535" width="0" style="212" hidden="1" customWidth="1"/>
    <col min="11536" max="11536" width="13" style="212" customWidth="1"/>
    <col min="11537" max="11537" width="12.7109375" style="212" bestFit="1" customWidth="1"/>
    <col min="11538" max="11776" width="9.140625" style="212"/>
    <col min="11777" max="11777" width="5.85546875" style="212" customWidth="1"/>
    <col min="11778" max="11778" width="65.85546875" style="212" customWidth="1"/>
    <col min="11779" max="11782" width="14.7109375" style="212" customWidth="1"/>
    <col min="11783" max="11784" width="12.7109375" style="212" customWidth="1"/>
    <col min="11785" max="11785" width="20.42578125" style="212" customWidth="1"/>
    <col min="11786" max="11791" width="0" style="212" hidden="1" customWidth="1"/>
    <col min="11792" max="11792" width="13" style="212" customWidth="1"/>
    <col min="11793" max="11793" width="12.7109375" style="212" bestFit="1" customWidth="1"/>
    <col min="11794" max="12032" width="9.140625" style="212"/>
    <col min="12033" max="12033" width="5.85546875" style="212" customWidth="1"/>
    <col min="12034" max="12034" width="65.85546875" style="212" customWidth="1"/>
    <col min="12035" max="12038" width="14.7109375" style="212" customWidth="1"/>
    <col min="12039" max="12040" width="12.7109375" style="212" customWidth="1"/>
    <col min="12041" max="12041" width="20.42578125" style="212" customWidth="1"/>
    <col min="12042" max="12047" width="0" style="212" hidden="1" customWidth="1"/>
    <col min="12048" max="12048" width="13" style="212" customWidth="1"/>
    <col min="12049" max="12049" width="12.7109375" style="212" bestFit="1" customWidth="1"/>
    <col min="12050" max="12288" width="9.140625" style="212"/>
    <col min="12289" max="12289" width="5.85546875" style="212" customWidth="1"/>
    <col min="12290" max="12290" width="65.85546875" style="212" customWidth="1"/>
    <col min="12291" max="12294" width="14.7109375" style="212" customWidth="1"/>
    <col min="12295" max="12296" width="12.7109375" style="212" customWidth="1"/>
    <col min="12297" max="12297" width="20.42578125" style="212" customWidth="1"/>
    <col min="12298" max="12303" width="0" style="212" hidden="1" customWidth="1"/>
    <col min="12304" max="12304" width="13" style="212" customWidth="1"/>
    <col min="12305" max="12305" width="12.7109375" style="212" bestFit="1" customWidth="1"/>
    <col min="12306" max="12544" width="9.140625" style="212"/>
    <col min="12545" max="12545" width="5.85546875" style="212" customWidth="1"/>
    <col min="12546" max="12546" width="65.85546875" style="212" customWidth="1"/>
    <col min="12547" max="12550" width="14.7109375" style="212" customWidth="1"/>
    <col min="12551" max="12552" width="12.7109375" style="212" customWidth="1"/>
    <col min="12553" max="12553" width="20.42578125" style="212" customWidth="1"/>
    <col min="12554" max="12559" width="0" style="212" hidden="1" customWidth="1"/>
    <col min="12560" max="12560" width="13" style="212" customWidth="1"/>
    <col min="12561" max="12561" width="12.7109375" style="212" bestFit="1" customWidth="1"/>
    <col min="12562" max="12800" width="9.140625" style="212"/>
    <col min="12801" max="12801" width="5.85546875" style="212" customWidth="1"/>
    <col min="12802" max="12802" width="65.85546875" style="212" customWidth="1"/>
    <col min="12803" max="12806" width="14.7109375" style="212" customWidth="1"/>
    <col min="12807" max="12808" width="12.7109375" style="212" customWidth="1"/>
    <col min="12809" max="12809" width="20.42578125" style="212" customWidth="1"/>
    <col min="12810" max="12815" width="0" style="212" hidden="1" customWidth="1"/>
    <col min="12816" max="12816" width="13" style="212" customWidth="1"/>
    <col min="12817" max="12817" width="12.7109375" style="212" bestFit="1" customWidth="1"/>
    <col min="12818" max="13056" width="9.140625" style="212"/>
    <col min="13057" max="13057" width="5.85546875" style="212" customWidth="1"/>
    <col min="13058" max="13058" width="65.85546875" style="212" customWidth="1"/>
    <col min="13059" max="13062" width="14.7109375" style="212" customWidth="1"/>
    <col min="13063" max="13064" width="12.7109375" style="212" customWidth="1"/>
    <col min="13065" max="13065" width="20.42578125" style="212" customWidth="1"/>
    <col min="13066" max="13071" width="0" style="212" hidden="1" customWidth="1"/>
    <col min="13072" max="13072" width="13" style="212" customWidth="1"/>
    <col min="13073" max="13073" width="12.7109375" style="212" bestFit="1" customWidth="1"/>
    <col min="13074" max="13312" width="9.140625" style="212"/>
    <col min="13313" max="13313" width="5.85546875" style="212" customWidth="1"/>
    <col min="13314" max="13314" width="65.85546875" style="212" customWidth="1"/>
    <col min="13315" max="13318" width="14.7109375" style="212" customWidth="1"/>
    <col min="13319" max="13320" width="12.7109375" style="212" customWidth="1"/>
    <col min="13321" max="13321" width="20.42578125" style="212" customWidth="1"/>
    <col min="13322" max="13327" width="0" style="212" hidden="1" customWidth="1"/>
    <col min="13328" max="13328" width="13" style="212" customWidth="1"/>
    <col min="13329" max="13329" width="12.7109375" style="212" bestFit="1" customWidth="1"/>
    <col min="13330" max="13568" width="9.140625" style="212"/>
    <col min="13569" max="13569" width="5.85546875" style="212" customWidth="1"/>
    <col min="13570" max="13570" width="65.85546875" style="212" customWidth="1"/>
    <col min="13571" max="13574" width="14.7109375" style="212" customWidth="1"/>
    <col min="13575" max="13576" width="12.7109375" style="212" customWidth="1"/>
    <col min="13577" max="13577" width="20.42578125" style="212" customWidth="1"/>
    <col min="13578" max="13583" width="0" style="212" hidden="1" customWidth="1"/>
    <col min="13584" max="13584" width="13" style="212" customWidth="1"/>
    <col min="13585" max="13585" width="12.7109375" style="212" bestFit="1" customWidth="1"/>
    <col min="13586" max="13824" width="9.140625" style="212"/>
    <col min="13825" max="13825" width="5.85546875" style="212" customWidth="1"/>
    <col min="13826" max="13826" width="65.85546875" style="212" customWidth="1"/>
    <col min="13827" max="13830" width="14.7109375" style="212" customWidth="1"/>
    <col min="13831" max="13832" width="12.7109375" style="212" customWidth="1"/>
    <col min="13833" max="13833" width="20.42578125" style="212" customWidth="1"/>
    <col min="13834" max="13839" width="0" style="212" hidden="1" customWidth="1"/>
    <col min="13840" max="13840" width="13" style="212" customWidth="1"/>
    <col min="13841" max="13841" width="12.7109375" style="212" bestFit="1" customWidth="1"/>
    <col min="13842" max="14080" width="9.140625" style="212"/>
    <col min="14081" max="14081" width="5.85546875" style="212" customWidth="1"/>
    <col min="14082" max="14082" width="65.85546875" style="212" customWidth="1"/>
    <col min="14083" max="14086" width="14.7109375" style="212" customWidth="1"/>
    <col min="14087" max="14088" width="12.7109375" style="212" customWidth="1"/>
    <col min="14089" max="14089" width="20.42578125" style="212" customWidth="1"/>
    <col min="14090" max="14095" width="0" style="212" hidden="1" customWidth="1"/>
    <col min="14096" max="14096" width="13" style="212" customWidth="1"/>
    <col min="14097" max="14097" width="12.7109375" style="212" bestFit="1" customWidth="1"/>
    <col min="14098" max="14336" width="9.140625" style="212"/>
    <col min="14337" max="14337" width="5.85546875" style="212" customWidth="1"/>
    <col min="14338" max="14338" width="65.85546875" style="212" customWidth="1"/>
    <col min="14339" max="14342" width="14.7109375" style="212" customWidth="1"/>
    <col min="14343" max="14344" width="12.7109375" style="212" customWidth="1"/>
    <col min="14345" max="14345" width="20.42578125" style="212" customWidth="1"/>
    <col min="14346" max="14351" width="0" style="212" hidden="1" customWidth="1"/>
    <col min="14352" max="14352" width="13" style="212" customWidth="1"/>
    <col min="14353" max="14353" width="12.7109375" style="212" bestFit="1" customWidth="1"/>
    <col min="14354" max="14592" width="9.140625" style="212"/>
    <col min="14593" max="14593" width="5.85546875" style="212" customWidth="1"/>
    <col min="14594" max="14594" width="65.85546875" style="212" customWidth="1"/>
    <col min="14595" max="14598" width="14.7109375" style="212" customWidth="1"/>
    <col min="14599" max="14600" width="12.7109375" style="212" customWidth="1"/>
    <col min="14601" max="14601" width="20.42578125" style="212" customWidth="1"/>
    <col min="14602" max="14607" width="0" style="212" hidden="1" customWidth="1"/>
    <col min="14608" max="14608" width="13" style="212" customWidth="1"/>
    <col min="14609" max="14609" width="12.7109375" style="212" bestFit="1" customWidth="1"/>
    <col min="14610" max="14848" width="9.140625" style="212"/>
    <col min="14849" max="14849" width="5.85546875" style="212" customWidth="1"/>
    <col min="14850" max="14850" width="65.85546875" style="212" customWidth="1"/>
    <col min="14851" max="14854" width="14.7109375" style="212" customWidth="1"/>
    <col min="14855" max="14856" width="12.7109375" style="212" customWidth="1"/>
    <col min="14857" max="14857" width="20.42578125" style="212" customWidth="1"/>
    <col min="14858" max="14863" width="0" style="212" hidden="1" customWidth="1"/>
    <col min="14864" max="14864" width="13" style="212" customWidth="1"/>
    <col min="14865" max="14865" width="12.7109375" style="212" bestFit="1" customWidth="1"/>
    <col min="14866" max="15104" width="9.140625" style="212"/>
    <col min="15105" max="15105" width="5.85546875" style="212" customWidth="1"/>
    <col min="15106" max="15106" width="65.85546875" style="212" customWidth="1"/>
    <col min="15107" max="15110" width="14.7109375" style="212" customWidth="1"/>
    <col min="15111" max="15112" width="12.7109375" style="212" customWidth="1"/>
    <col min="15113" max="15113" width="20.42578125" style="212" customWidth="1"/>
    <col min="15114" max="15119" width="0" style="212" hidden="1" customWidth="1"/>
    <col min="15120" max="15120" width="13" style="212" customWidth="1"/>
    <col min="15121" max="15121" width="12.7109375" style="212" bestFit="1" customWidth="1"/>
    <col min="15122" max="15360" width="9.140625" style="212"/>
    <col min="15361" max="15361" width="5.85546875" style="212" customWidth="1"/>
    <col min="15362" max="15362" width="65.85546875" style="212" customWidth="1"/>
    <col min="15363" max="15366" width="14.7109375" style="212" customWidth="1"/>
    <col min="15367" max="15368" width="12.7109375" style="212" customWidth="1"/>
    <col min="15369" max="15369" width="20.42578125" style="212" customWidth="1"/>
    <col min="15370" max="15375" width="0" style="212" hidden="1" customWidth="1"/>
    <col min="15376" max="15376" width="13" style="212" customWidth="1"/>
    <col min="15377" max="15377" width="12.7109375" style="212" bestFit="1" customWidth="1"/>
    <col min="15378" max="15616" width="9.140625" style="212"/>
    <col min="15617" max="15617" width="5.85546875" style="212" customWidth="1"/>
    <col min="15618" max="15618" width="65.85546875" style="212" customWidth="1"/>
    <col min="15619" max="15622" width="14.7109375" style="212" customWidth="1"/>
    <col min="15623" max="15624" width="12.7109375" style="212" customWidth="1"/>
    <col min="15625" max="15625" width="20.42578125" style="212" customWidth="1"/>
    <col min="15626" max="15631" width="0" style="212" hidden="1" customWidth="1"/>
    <col min="15632" max="15632" width="13" style="212" customWidth="1"/>
    <col min="15633" max="15633" width="12.7109375" style="212" bestFit="1" customWidth="1"/>
    <col min="15634" max="15872" width="9.140625" style="212"/>
    <col min="15873" max="15873" width="5.85546875" style="212" customWidth="1"/>
    <col min="15874" max="15874" width="65.85546875" style="212" customWidth="1"/>
    <col min="15875" max="15878" width="14.7109375" style="212" customWidth="1"/>
    <col min="15879" max="15880" width="12.7109375" style="212" customWidth="1"/>
    <col min="15881" max="15881" width="20.42578125" style="212" customWidth="1"/>
    <col min="15882" max="15887" width="0" style="212" hidden="1" customWidth="1"/>
    <col min="15888" max="15888" width="13" style="212" customWidth="1"/>
    <col min="15889" max="15889" width="12.7109375" style="212" bestFit="1" customWidth="1"/>
    <col min="15890" max="16128" width="9.140625" style="212"/>
    <col min="16129" max="16129" width="5.85546875" style="212" customWidth="1"/>
    <col min="16130" max="16130" width="65.85546875" style="212" customWidth="1"/>
    <col min="16131" max="16134" width="14.7109375" style="212" customWidth="1"/>
    <col min="16135" max="16136" width="12.7109375" style="212" customWidth="1"/>
    <col min="16137" max="16137" width="20.42578125" style="212" customWidth="1"/>
    <col min="16138" max="16143" width="0" style="212" hidden="1" customWidth="1"/>
    <col min="16144" max="16144" width="13" style="212" customWidth="1"/>
    <col min="16145" max="16145" width="12.7109375" style="212" bestFit="1" customWidth="1"/>
    <col min="16146" max="16384" width="9.140625" style="212"/>
  </cols>
  <sheetData>
    <row r="1" spans="1:17" ht="18.75">
      <c r="A1" s="209"/>
      <c r="B1" s="982"/>
      <c r="C1" s="211"/>
      <c r="D1" s="211"/>
      <c r="E1" s="211"/>
      <c r="F1" s="211"/>
      <c r="G1" s="1022" t="s">
        <v>568</v>
      </c>
      <c r="H1" s="1022"/>
    </row>
    <row r="2" spans="1:17" ht="21" customHeight="1">
      <c r="A2" s="1023" t="s">
        <v>569</v>
      </c>
      <c r="B2" s="1023"/>
      <c r="C2" s="1023"/>
      <c r="D2" s="1023"/>
      <c r="E2" s="1023"/>
      <c r="F2" s="1023"/>
      <c r="G2" s="1023"/>
      <c r="H2" s="1023"/>
    </row>
    <row r="3" spans="1:17" ht="21" customHeight="1">
      <c r="A3" s="1024" t="s">
        <v>1210</v>
      </c>
      <c r="B3" s="1024"/>
      <c r="C3" s="1024"/>
      <c r="D3" s="1024"/>
      <c r="E3" s="1024"/>
      <c r="F3" s="1024"/>
      <c r="G3" s="1024"/>
      <c r="H3" s="1024"/>
    </row>
    <row r="4" spans="1:17" ht="42.75" customHeight="1">
      <c r="A4" s="235"/>
      <c r="B4" s="606"/>
      <c r="C4" s="208"/>
      <c r="D4" s="208"/>
      <c r="E4" s="208"/>
      <c r="F4" s="208"/>
      <c r="G4" s="219"/>
      <c r="H4" s="980" t="s">
        <v>2</v>
      </c>
    </row>
    <row r="5" spans="1:17" s="213" customFormat="1" ht="18.75" customHeight="1">
      <c r="A5" s="1044" t="s">
        <v>3</v>
      </c>
      <c r="B5" s="1042" t="s">
        <v>4</v>
      </c>
      <c r="C5" s="1044" t="s">
        <v>6</v>
      </c>
      <c r="D5" s="1044"/>
      <c r="E5" s="1044" t="s">
        <v>565</v>
      </c>
      <c r="F5" s="1047"/>
      <c r="G5" s="1044" t="s">
        <v>461</v>
      </c>
      <c r="H5" s="1044"/>
    </row>
    <row r="6" spans="1:17" s="213" customFormat="1" ht="18.75" customHeight="1">
      <c r="A6" s="1044"/>
      <c r="B6" s="1042"/>
      <c r="C6" s="1042" t="s">
        <v>462</v>
      </c>
      <c r="D6" s="1042" t="s">
        <v>463</v>
      </c>
      <c r="E6" s="1042" t="s">
        <v>462</v>
      </c>
      <c r="F6" s="1042" t="s">
        <v>463</v>
      </c>
      <c r="G6" s="1042" t="s">
        <v>462</v>
      </c>
      <c r="H6" s="1042" t="s">
        <v>463</v>
      </c>
    </row>
    <row r="7" spans="1:17" s="213" customFormat="1" ht="18.75" customHeight="1">
      <c r="A7" s="1044"/>
      <c r="B7" s="1042"/>
      <c r="C7" s="1042"/>
      <c r="D7" s="1042"/>
      <c r="E7" s="1042"/>
      <c r="F7" s="1042"/>
      <c r="G7" s="1042"/>
      <c r="H7" s="1042"/>
    </row>
    <row r="8" spans="1:17" s="214" customFormat="1" ht="17.25" customHeight="1">
      <c r="A8" s="234" t="s">
        <v>10</v>
      </c>
      <c r="B8" s="983" t="s">
        <v>11</v>
      </c>
      <c r="C8" s="234">
        <v>1</v>
      </c>
      <c r="D8" s="234">
        <f>C8+1</f>
        <v>2</v>
      </c>
      <c r="E8" s="234">
        <f>D8+1</f>
        <v>3</v>
      </c>
      <c r="F8" s="234">
        <f>E8+1</f>
        <v>4</v>
      </c>
      <c r="G8" s="234" t="s">
        <v>464</v>
      </c>
      <c r="H8" s="234" t="s">
        <v>465</v>
      </c>
    </row>
    <row r="9" spans="1:17" s="217" customFormat="1" ht="21" customHeight="1">
      <c r="A9" s="236"/>
      <c r="B9" s="984" t="s">
        <v>570</v>
      </c>
      <c r="C9" s="237">
        <f>C10+C60+C61+C69</f>
        <v>4425000</v>
      </c>
      <c r="D9" s="237">
        <f>D10+D60+D61+D69</f>
        <v>3931000</v>
      </c>
      <c r="E9" s="237">
        <f>E10+E60+E61+E69</f>
        <v>5000000</v>
      </c>
      <c r="F9" s="237">
        <f>F10+F60+F61+F69</f>
        <v>4443500</v>
      </c>
      <c r="G9" s="985">
        <f>IFERROR(E9/C9,"")</f>
        <v>1.1299435028248588</v>
      </c>
      <c r="H9" s="985">
        <f>IFERROR(F9/D9,"")</f>
        <v>1.1303739506486898</v>
      </c>
      <c r="P9" s="216"/>
      <c r="Q9" s="216"/>
    </row>
    <row r="10" spans="1:17" s="217" customFormat="1" ht="21" customHeight="1">
      <c r="A10" s="225" t="s">
        <v>15</v>
      </c>
      <c r="B10" s="238" t="s">
        <v>467</v>
      </c>
      <c r="C10" s="223">
        <f>C11+C17+C23+C26+C33+C34+C37+C38+C44+C45+C46+C47+C48+C49+C50+C51+C52+C53+C54+C55+C56</f>
        <v>4109000</v>
      </c>
      <c r="D10" s="223">
        <f>D11+D17+D23+D26+D33+D34+D37+D38+D44+D45+D46+D47+D48+D49+D50+D51+D52+D53+D54+D55+D56</f>
        <v>3931000</v>
      </c>
      <c r="E10" s="223">
        <f>E11+E17+E23+E26+E33+E34+E37+E38+E44+E45+E46+E47+E48+E49+E50+E51+E52+E53+E54+E55+E56</f>
        <v>4680000</v>
      </c>
      <c r="F10" s="223">
        <f>F11+F17+F23+F26+F33+F34+F37+F38+F44+F45+F46+F47+F48+F49+F50+F51+F52+F53+F54+F55+F56</f>
        <v>4443500</v>
      </c>
      <c r="G10" s="986">
        <f t="shared" ref="G10:H69" si="0">IFERROR(E10/C10,"")</f>
        <v>1.1389632513993673</v>
      </c>
      <c r="H10" s="986">
        <f t="shared" si="0"/>
        <v>1.1303739506486898</v>
      </c>
      <c r="I10" s="216"/>
      <c r="L10" s="216"/>
    </row>
    <row r="11" spans="1:17" s="217" customFormat="1" ht="21" customHeight="1">
      <c r="A11" s="225">
        <v>1</v>
      </c>
      <c r="B11" s="238" t="s">
        <v>571</v>
      </c>
      <c r="C11" s="223">
        <f>C12+C13+C14</f>
        <v>788670</v>
      </c>
      <c r="D11" s="223">
        <f>D12+D13+D14</f>
        <v>788670</v>
      </c>
      <c r="E11" s="223">
        <f>E12+E13+E14</f>
        <v>650000</v>
      </c>
      <c r="F11" s="223">
        <f>F12+F13+F14</f>
        <v>650000</v>
      </c>
      <c r="G11" s="986">
        <f t="shared" si="0"/>
        <v>0.82417234077624357</v>
      </c>
      <c r="H11" s="986">
        <f t="shared" si="0"/>
        <v>0.82417234077624357</v>
      </c>
      <c r="I11" s="216"/>
    </row>
    <row r="12" spans="1:17" s="208" customFormat="1" ht="18.75">
      <c r="A12" s="987" t="s">
        <v>108</v>
      </c>
      <c r="B12" s="988" t="s">
        <v>469</v>
      </c>
      <c r="C12" s="989">
        <v>317689</v>
      </c>
      <c r="D12" s="989">
        <v>317689</v>
      </c>
      <c r="E12" s="989">
        <v>170800</v>
      </c>
      <c r="F12" s="989">
        <v>170800</v>
      </c>
      <c r="G12" s="990">
        <f t="shared" si="0"/>
        <v>0.53763271627283282</v>
      </c>
      <c r="H12" s="990">
        <f t="shared" si="0"/>
        <v>0.53763271627283282</v>
      </c>
      <c r="I12" s="215"/>
    </row>
    <row r="13" spans="1:17" s="208" customFormat="1" ht="18.75">
      <c r="A13" s="987" t="s">
        <v>110</v>
      </c>
      <c r="B13" s="988" t="s">
        <v>470</v>
      </c>
      <c r="C13" s="989">
        <v>27331</v>
      </c>
      <c r="D13" s="989">
        <v>27331</v>
      </c>
      <c r="E13" s="989">
        <v>20000</v>
      </c>
      <c r="F13" s="989">
        <v>20000</v>
      </c>
      <c r="G13" s="990">
        <f t="shared" si="0"/>
        <v>0.73176978522556801</v>
      </c>
      <c r="H13" s="990">
        <f t="shared" si="0"/>
        <v>0.73176978522556801</v>
      </c>
    </row>
    <row r="14" spans="1:17" s="208" customFormat="1" ht="18.75">
      <c r="A14" s="987" t="s">
        <v>111</v>
      </c>
      <c r="B14" s="988" t="s">
        <v>471</v>
      </c>
      <c r="C14" s="989">
        <v>443650</v>
      </c>
      <c r="D14" s="989">
        <v>443650</v>
      </c>
      <c r="E14" s="989">
        <v>459200</v>
      </c>
      <c r="F14" s="989">
        <v>459200</v>
      </c>
      <c r="G14" s="990">
        <f t="shared" si="0"/>
        <v>1.0350501521469626</v>
      </c>
      <c r="H14" s="990">
        <f t="shared" si="0"/>
        <v>1.0350501521469626</v>
      </c>
    </row>
    <row r="15" spans="1:17" s="208" customFormat="1" ht="18.75">
      <c r="A15" s="991" t="s">
        <v>19</v>
      </c>
      <c r="B15" s="988" t="s">
        <v>472</v>
      </c>
      <c r="C15" s="989">
        <v>441000</v>
      </c>
      <c r="D15" s="989">
        <v>441000</v>
      </c>
      <c r="E15" s="989">
        <v>459000</v>
      </c>
      <c r="F15" s="989">
        <v>459000</v>
      </c>
      <c r="G15" s="990">
        <f t="shared" si="0"/>
        <v>1.0408163265306123</v>
      </c>
      <c r="H15" s="990">
        <f t="shared" si="0"/>
        <v>1.0408163265306123</v>
      </c>
    </row>
    <row r="16" spans="1:17" s="208" customFormat="1" ht="18.75">
      <c r="A16" s="991" t="s">
        <v>19</v>
      </c>
      <c r="B16" s="988" t="s">
        <v>473</v>
      </c>
      <c r="C16" s="989">
        <v>2650</v>
      </c>
      <c r="D16" s="989">
        <v>2650</v>
      </c>
      <c r="E16" s="989">
        <v>200</v>
      </c>
      <c r="F16" s="989">
        <v>200</v>
      </c>
      <c r="G16" s="990">
        <f t="shared" si="0"/>
        <v>7.5471698113207544E-2</v>
      </c>
      <c r="H16" s="990">
        <f t="shared" si="0"/>
        <v>7.5471698113207544E-2</v>
      </c>
    </row>
    <row r="17" spans="1:8" s="217" customFormat="1" ht="21" customHeight="1">
      <c r="A17" s="225">
        <f>A11+1</f>
        <v>2</v>
      </c>
      <c r="B17" s="238" t="s">
        <v>572</v>
      </c>
      <c r="C17" s="223">
        <f>C18+C19+C20</f>
        <v>50230</v>
      </c>
      <c r="D17" s="223">
        <f>D18+D19+D20</f>
        <v>50230</v>
      </c>
      <c r="E17" s="223">
        <f>E18+E19+E20</f>
        <v>51000</v>
      </c>
      <c r="F17" s="223">
        <f>F18+F19+F20</f>
        <v>51000</v>
      </c>
      <c r="G17" s="986">
        <f t="shared" si="0"/>
        <v>1.0153294843718894</v>
      </c>
      <c r="H17" s="986">
        <f t="shared" si="0"/>
        <v>1.0153294843718894</v>
      </c>
    </row>
    <row r="18" spans="1:8" s="208" customFormat="1" ht="18.75">
      <c r="A18" s="987" t="s">
        <v>143</v>
      </c>
      <c r="B18" s="988" t="s">
        <v>469</v>
      </c>
      <c r="C18" s="989">
        <v>25620</v>
      </c>
      <c r="D18" s="989">
        <v>25620</v>
      </c>
      <c r="E18" s="989">
        <v>28040</v>
      </c>
      <c r="F18" s="989">
        <v>28040</v>
      </c>
      <c r="G18" s="990">
        <f t="shared" si="0"/>
        <v>1.0944574551131929</v>
      </c>
      <c r="H18" s="990">
        <f t="shared" si="0"/>
        <v>1.0944574551131929</v>
      </c>
    </row>
    <row r="19" spans="1:8" s="208" customFormat="1" ht="18.75">
      <c r="A19" s="987" t="s">
        <v>145</v>
      </c>
      <c r="B19" s="988" t="s">
        <v>470</v>
      </c>
      <c r="C19" s="989">
        <v>24250</v>
      </c>
      <c r="D19" s="989">
        <v>24250</v>
      </c>
      <c r="E19" s="989">
        <v>22460</v>
      </c>
      <c r="F19" s="989">
        <v>22460</v>
      </c>
      <c r="G19" s="990">
        <f t="shared" si="0"/>
        <v>0.9261855670103093</v>
      </c>
      <c r="H19" s="990">
        <f t="shared" si="0"/>
        <v>0.9261855670103093</v>
      </c>
    </row>
    <row r="20" spans="1:8" s="208" customFormat="1" ht="18.75">
      <c r="A20" s="987" t="s">
        <v>147</v>
      </c>
      <c r="B20" s="988" t="s">
        <v>471</v>
      </c>
      <c r="C20" s="989">
        <v>360</v>
      </c>
      <c r="D20" s="989">
        <v>360</v>
      </c>
      <c r="E20" s="989">
        <v>500</v>
      </c>
      <c r="F20" s="989">
        <v>500</v>
      </c>
      <c r="G20" s="990">
        <f t="shared" si="0"/>
        <v>1.3888888888888888</v>
      </c>
      <c r="H20" s="990">
        <f t="shared" si="0"/>
        <v>1.3888888888888888</v>
      </c>
    </row>
    <row r="21" spans="1:8" s="219" customFormat="1" ht="18.75" hidden="1" outlineLevel="1">
      <c r="A21" s="987" t="s">
        <v>19</v>
      </c>
      <c r="B21" s="988" t="s">
        <v>475</v>
      </c>
      <c r="C21" s="989">
        <v>110</v>
      </c>
      <c r="D21" s="989">
        <f>C21</f>
        <v>110</v>
      </c>
      <c r="E21" s="989">
        <v>100</v>
      </c>
      <c r="F21" s="989">
        <f>E21</f>
        <v>100</v>
      </c>
      <c r="G21" s="992">
        <f t="shared" si="0"/>
        <v>0.90909090909090906</v>
      </c>
      <c r="H21" s="992">
        <f t="shared" si="0"/>
        <v>0.90909090909090906</v>
      </c>
    </row>
    <row r="22" spans="1:8" s="219" customFormat="1" ht="18.75" hidden="1" outlineLevel="1">
      <c r="A22" s="987" t="s">
        <v>19</v>
      </c>
      <c r="B22" s="988" t="s">
        <v>473</v>
      </c>
      <c r="C22" s="989">
        <v>250</v>
      </c>
      <c r="D22" s="989">
        <f>C22</f>
        <v>250</v>
      </c>
      <c r="E22" s="989">
        <v>400</v>
      </c>
      <c r="F22" s="989">
        <f>E22</f>
        <v>400</v>
      </c>
      <c r="G22" s="992">
        <f t="shared" si="0"/>
        <v>1.6</v>
      </c>
      <c r="H22" s="992">
        <f t="shared" si="0"/>
        <v>1.6</v>
      </c>
    </row>
    <row r="23" spans="1:8" s="217" customFormat="1" ht="38.25" customHeight="1" collapsed="1">
      <c r="A23" s="225">
        <f>A17+1</f>
        <v>3</v>
      </c>
      <c r="B23" s="238" t="s">
        <v>573</v>
      </c>
      <c r="C23" s="223">
        <f>C24+C25</f>
        <v>6000</v>
      </c>
      <c r="D23" s="223">
        <f>D24+D25</f>
        <v>6000</v>
      </c>
      <c r="E23" s="223">
        <f>E24+E25</f>
        <v>1000</v>
      </c>
      <c r="F23" s="223">
        <f>F24+F25</f>
        <v>1000</v>
      </c>
      <c r="G23" s="986">
        <f t="shared" si="0"/>
        <v>0.16666666666666666</v>
      </c>
      <c r="H23" s="986">
        <f t="shared" si="0"/>
        <v>0.16666666666666666</v>
      </c>
    </row>
    <row r="24" spans="1:8" s="208" customFormat="1" ht="18.75">
      <c r="A24" s="987" t="s">
        <v>196</v>
      </c>
      <c r="B24" s="988" t="s">
        <v>469</v>
      </c>
      <c r="C24" s="989">
        <v>1000</v>
      </c>
      <c r="D24" s="989">
        <v>1000</v>
      </c>
      <c r="E24" s="989">
        <v>500</v>
      </c>
      <c r="F24" s="989">
        <v>500</v>
      </c>
      <c r="G24" s="990">
        <f t="shared" si="0"/>
        <v>0.5</v>
      </c>
      <c r="H24" s="990">
        <f t="shared" si="0"/>
        <v>0.5</v>
      </c>
    </row>
    <row r="25" spans="1:8" s="208" customFormat="1" ht="18.75">
      <c r="A25" s="987" t="s">
        <v>198</v>
      </c>
      <c r="B25" s="988" t="s">
        <v>470</v>
      </c>
      <c r="C25" s="989">
        <v>5000</v>
      </c>
      <c r="D25" s="989">
        <v>5000</v>
      </c>
      <c r="E25" s="989">
        <v>500</v>
      </c>
      <c r="F25" s="989">
        <v>500</v>
      </c>
      <c r="G25" s="990">
        <f t="shared" si="0"/>
        <v>0.1</v>
      </c>
      <c r="H25" s="990">
        <f t="shared" si="0"/>
        <v>0.1</v>
      </c>
    </row>
    <row r="26" spans="1:8" s="217" customFormat="1" ht="21" customHeight="1">
      <c r="A26" s="225">
        <f>A23+1</f>
        <v>4</v>
      </c>
      <c r="B26" s="238" t="s">
        <v>574</v>
      </c>
      <c r="C26" s="223">
        <f>C27+C28+C29+C30</f>
        <v>1100000</v>
      </c>
      <c r="D26" s="223">
        <f>D27+D28+D29+D30</f>
        <v>1100000</v>
      </c>
      <c r="E26" s="223">
        <f>E27+E28+E29+E30</f>
        <v>1075000</v>
      </c>
      <c r="F26" s="223">
        <f>F27+F28+F29+F30</f>
        <v>1075000</v>
      </c>
      <c r="G26" s="986">
        <f t="shared" si="0"/>
        <v>0.97727272727272729</v>
      </c>
      <c r="H26" s="986">
        <f t="shared" si="0"/>
        <v>0.97727272727272729</v>
      </c>
    </row>
    <row r="27" spans="1:8" s="208" customFormat="1" ht="18.75">
      <c r="A27" s="987" t="s">
        <v>478</v>
      </c>
      <c r="B27" s="988" t="s">
        <v>469</v>
      </c>
      <c r="C27" s="989">
        <v>767250</v>
      </c>
      <c r="D27" s="989">
        <v>767250</v>
      </c>
      <c r="E27" s="989">
        <v>732999.9</v>
      </c>
      <c r="F27" s="989">
        <v>732999.9</v>
      </c>
      <c r="G27" s="990">
        <f t="shared" si="0"/>
        <v>0.9553599217986315</v>
      </c>
      <c r="H27" s="990">
        <f t="shared" si="0"/>
        <v>0.9553599217986315</v>
      </c>
    </row>
    <row r="28" spans="1:8" s="208" customFormat="1" ht="18.75">
      <c r="A28" s="987" t="s">
        <v>479</v>
      </c>
      <c r="B28" s="988" t="s">
        <v>470</v>
      </c>
      <c r="C28" s="989">
        <v>46240</v>
      </c>
      <c r="D28" s="989">
        <v>46240</v>
      </c>
      <c r="E28" s="989">
        <v>50000</v>
      </c>
      <c r="F28" s="989">
        <v>50000</v>
      </c>
      <c r="G28" s="990">
        <f t="shared" si="0"/>
        <v>1.0813148788927336</v>
      </c>
      <c r="H28" s="990">
        <f t="shared" si="0"/>
        <v>1.0813148788927336</v>
      </c>
    </row>
    <row r="29" spans="1:8" s="208" customFormat="1" ht="18.75">
      <c r="A29" s="987" t="s">
        <v>480</v>
      </c>
      <c r="B29" s="988" t="s">
        <v>481</v>
      </c>
      <c r="C29" s="989">
        <v>5050</v>
      </c>
      <c r="D29" s="989">
        <v>5050</v>
      </c>
      <c r="E29" s="989">
        <v>4000.1</v>
      </c>
      <c r="F29" s="989">
        <v>4000.1</v>
      </c>
      <c r="G29" s="990">
        <f t="shared" si="0"/>
        <v>0.79209900990099014</v>
      </c>
      <c r="H29" s="990">
        <f t="shared" si="0"/>
        <v>0.79209900990099014</v>
      </c>
    </row>
    <row r="30" spans="1:8" s="208" customFormat="1" ht="18.75">
      <c r="A30" s="987" t="s">
        <v>482</v>
      </c>
      <c r="B30" s="988" t="s">
        <v>471</v>
      </c>
      <c r="C30" s="989">
        <v>281460</v>
      </c>
      <c r="D30" s="989">
        <v>281460</v>
      </c>
      <c r="E30" s="989">
        <v>288000</v>
      </c>
      <c r="F30" s="989">
        <v>288000</v>
      </c>
      <c r="G30" s="990">
        <f t="shared" si="0"/>
        <v>1.0232359837987637</v>
      </c>
      <c r="H30" s="990">
        <f t="shared" si="0"/>
        <v>1.0232359837987637</v>
      </c>
    </row>
    <row r="31" spans="1:8" s="208" customFormat="1" ht="18.75">
      <c r="A31" s="987" t="s">
        <v>19</v>
      </c>
      <c r="B31" s="988" t="s">
        <v>472</v>
      </c>
      <c r="C31" s="989">
        <v>259000</v>
      </c>
      <c r="D31" s="989">
        <v>259000</v>
      </c>
      <c r="E31" s="989">
        <v>260000</v>
      </c>
      <c r="F31" s="989">
        <v>260000</v>
      </c>
      <c r="G31" s="990">
        <f t="shared" si="0"/>
        <v>1.0038610038610039</v>
      </c>
      <c r="H31" s="990">
        <f t="shared" si="0"/>
        <v>1.0038610038610039</v>
      </c>
    </row>
    <row r="32" spans="1:8" s="208" customFormat="1" ht="18.75">
      <c r="A32" s="987" t="s">
        <v>19</v>
      </c>
      <c r="B32" s="988" t="s">
        <v>473</v>
      </c>
      <c r="C32" s="989">
        <v>22460</v>
      </c>
      <c r="D32" s="989">
        <v>22460</v>
      </c>
      <c r="E32" s="989">
        <v>28000</v>
      </c>
      <c r="F32" s="989">
        <v>28000</v>
      </c>
      <c r="G32" s="990">
        <f t="shared" si="0"/>
        <v>1.2466607301869992</v>
      </c>
      <c r="H32" s="990">
        <f t="shared" si="0"/>
        <v>1.2466607301869992</v>
      </c>
    </row>
    <row r="33" spans="1:8" s="217" customFormat="1" ht="21" customHeight="1">
      <c r="A33" s="225">
        <f>A26+1</f>
        <v>5</v>
      </c>
      <c r="B33" s="238" t="s">
        <v>483</v>
      </c>
      <c r="C33" s="223">
        <v>115200</v>
      </c>
      <c r="D33" s="223">
        <v>115200</v>
      </c>
      <c r="E33" s="223">
        <v>105000</v>
      </c>
      <c r="F33" s="223">
        <v>105000</v>
      </c>
      <c r="G33" s="986">
        <f t="shared" si="0"/>
        <v>0.91145833333333337</v>
      </c>
      <c r="H33" s="986">
        <f t="shared" si="0"/>
        <v>0.91145833333333337</v>
      </c>
    </row>
    <row r="34" spans="1:8" s="217" customFormat="1" ht="21" customHeight="1">
      <c r="A34" s="225">
        <f>A33+1</f>
        <v>6</v>
      </c>
      <c r="B34" s="238" t="s">
        <v>484</v>
      </c>
      <c r="C34" s="223">
        <f>C35+C36</f>
        <v>152000</v>
      </c>
      <c r="D34" s="223">
        <f>D35+D36</f>
        <v>87717</v>
      </c>
      <c r="E34" s="223">
        <f>E35+E36</f>
        <v>315000</v>
      </c>
      <c r="F34" s="223">
        <f>F35+F36</f>
        <v>189000</v>
      </c>
      <c r="G34" s="986">
        <f t="shared" si="0"/>
        <v>2.0723684210526314</v>
      </c>
      <c r="H34" s="986">
        <f t="shared" si="0"/>
        <v>2.1546564519990423</v>
      </c>
    </row>
    <row r="35" spans="1:8" s="208" customFormat="1" ht="37.5">
      <c r="A35" s="239" t="s">
        <v>19</v>
      </c>
      <c r="B35" s="232" t="s">
        <v>575</v>
      </c>
      <c r="C35" s="222">
        <v>64283</v>
      </c>
      <c r="D35" s="222"/>
      <c r="E35" s="222">
        <v>189000</v>
      </c>
      <c r="F35" s="222">
        <v>189000</v>
      </c>
      <c r="G35" s="990">
        <f t="shared" si="0"/>
        <v>2.9401241385747396</v>
      </c>
      <c r="H35" s="990" t="str">
        <f t="shared" si="0"/>
        <v/>
      </c>
    </row>
    <row r="36" spans="1:8" s="208" customFormat="1" ht="21" customHeight="1">
      <c r="A36" s="239" t="s">
        <v>19</v>
      </c>
      <c r="B36" s="232" t="s">
        <v>576</v>
      </c>
      <c r="C36" s="222">
        <v>87717</v>
      </c>
      <c r="D36" s="222">
        <v>87717</v>
      </c>
      <c r="E36" s="222">
        <v>126000</v>
      </c>
      <c r="F36" s="222"/>
      <c r="G36" s="990">
        <f t="shared" si="0"/>
        <v>1.4364376346660281</v>
      </c>
      <c r="H36" s="990">
        <f t="shared" si="0"/>
        <v>0</v>
      </c>
    </row>
    <row r="37" spans="1:8" s="217" customFormat="1" ht="21" customHeight="1">
      <c r="A37" s="225">
        <f>A34+1</f>
        <v>7</v>
      </c>
      <c r="B37" s="238" t="s">
        <v>487</v>
      </c>
      <c r="C37" s="223">
        <v>85600</v>
      </c>
      <c r="D37" s="223">
        <v>85600</v>
      </c>
      <c r="E37" s="223">
        <v>87000</v>
      </c>
      <c r="F37" s="223">
        <v>87000</v>
      </c>
      <c r="G37" s="986">
        <f t="shared" si="0"/>
        <v>1.016355140186916</v>
      </c>
      <c r="H37" s="986">
        <f t="shared" si="0"/>
        <v>1.016355140186916</v>
      </c>
    </row>
    <row r="38" spans="1:8" s="217" customFormat="1" ht="21" customHeight="1">
      <c r="A38" s="225">
        <f>A37+1</f>
        <v>8</v>
      </c>
      <c r="B38" s="238" t="s">
        <v>577</v>
      </c>
      <c r="C38" s="223">
        <f>C39+C40</f>
        <v>67100</v>
      </c>
      <c r="D38" s="223">
        <f>D39+D40</f>
        <v>54138</v>
      </c>
      <c r="E38" s="223">
        <f>E39+E40</f>
        <v>66579</v>
      </c>
      <c r="F38" s="223">
        <f>F39+F40</f>
        <v>55579</v>
      </c>
      <c r="G38" s="986">
        <f t="shared" si="0"/>
        <v>0.99223546944858421</v>
      </c>
      <c r="H38" s="986">
        <f t="shared" si="0"/>
        <v>1.0266171635450145</v>
      </c>
    </row>
    <row r="39" spans="1:8" s="208" customFormat="1" ht="21" customHeight="1">
      <c r="A39" s="240" t="s">
        <v>489</v>
      </c>
      <c r="B39" s="232" t="s">
        <v>578</v>
      </c>
      <c r="C39" s="222">
        <v>12962</v>
      </c>
      <c r="D39" s="222"/>
      <c r="E39" s="222">
        <v>11000</v>
      </c>
      <c r="F39" s="222"/>
      <c r="G39" s="990">
        <f t="shared" si="0"/>
        <v>0.84863446998919922</v>
      </c>
      <c r="H39" s="990" t="str">
        <f t="shared" si="0"/>
        <v/>
      </c>
    </row>
    <row r="40" spans="1:8" s="208" customFormat="1" ht="21" customHeight="1">
      <c r="A40" s="240" t="s">
        <v>491</v>
      </c>
      <c r="B40" s="232" t="s">
        <v>579</v>
      </c>
      <c r="C40" s="222">
        <v>54138</v>
      </c>
      <c r="D40" s="222">
        <v>54138</v>
      </c>
      <c r="E40" s="222">
        <v>55579</v>
      </c>
      <c r="F40" s="222">
        <f>E40</f>
        <v>55579</v>
      </c>
      <c r="G40" s="990">
        <f t="shared" si="0"/>
        <v>1.0266171635450145</v>
      </c>
      <c r="H40" s="990">
        <f t="shared" si="0"/>
        <v>1.0266171635450145</v>
      </c>
    </row>
    <row r="41" spans="1:8" s="208" customFormat="1" ht="21" hidden="1" customHeight="1" outlineLevel="1">
      <c r="A41" s="240" t="s">
        <v>19</v>
      </c>
      <c r="B41" s="232" t="s">
        <v>580</v>
      </c>
      <c r="C41" s="222"/>
      <c r="D41" s="222"/>
      <c r="E41" s="222"/>
      <c r="F41" s="222"/>
      <c r="G41" s="990" t="str">
        <f t="shared" si="0"/>
        <v/>
      </c>
      <c r="H41" s="990" t="str">
        <f t="shared" si="0"/>
        <v/>
      </c>
    </row>
    <row r="42" spans="1:8" s="208" customFormat="1" ht="21" hidden="1" customHeight="1" outlineLevel="1">
      <c r="A42" s="240" t="s">
        <v>19</v>
      </c>
      <c r="B42" s="232" t="s">
        <v>581</v>
      </c>
      <c r="C42" s="222"/>
      <c r="D42" s="222"/>
      <c r="E42" s="222"/>
      <c r="F42" s="222"/>
      <c r="G42" s="990" t="str">
        <f t="shared" si="0"/>
        <v/>
      </c>
      <c r="H42" s="990" t="str">
        <f t="shared" si="0"/>
        <v/>
      </c>
    </row>
    <row r="43" spans="1:8" s="208" customFormat="1" ht="21" hidden="1" customHeight="1" outlineLevel="1">
      <c r="A43" s="240" t="s">
        <v>19</v>
      </c>
      <c r="B43" s="232" t="s">
        <v>582</v>
      </c>
      <c r="C43" s="222"/>
      <c r="D43" s="222"/>
      <c r="E43" s="222"/>
      <c r="F43" s="222"/>
      <c r="G43" s="990" t="str">
        <f t="shared" si="0"/>
        <v/>
      </c>
      <c r="H43" s="990" t="str">
        <f t="shared" si="0"/>
        <v/>
      </c>
    </row>
    <row r="44" spans="1:8" s="217" customFormat="1" ht="21" customHeight="1" collapsed="1">
      <c r="A44" s="225">
        <f>A38+1</f>
        <v>9</v>
      </c>
      <c r="B44" s="238" t="s">
        <v>498</v>
      </c>
      <c r="C44" s="223">
        <v>800</v>
      </c>
      <c r="D44" s="223">
        <v>800</v>
      </c>
      <c r="E44" s="223">
        <v>0</v>
      </c>
      <c r="F44" s="223"/>
      <c r="G44" s="986">
        <f t="shared" si="0"/>
        <v>0</v>
      </c>
      <c r="H44" s="986">
        <f t="shared" si="0"/>
        <v>0</v>
      </c>
    </row>
    <row r="45" spans="1:8" s="217" customFormat="1" ht="21" customHeight="1">
      <c r="A45" s="225">
        <f>A44+1</f>
        <v>10</v>
      </c>
      <c r="B45" s="238" t="s">
        <v>499</v>
      </c>
      <c r="C45" s="223">
        <v>3800</v>
      </c>
      <c r="D45" s="223">
        <v>3800</v>
      </c>
      <c r="E45" s="223">
        <v>4400</v>
      </c>
      <c r="F45" s="223">
        <v>4400</v>
      </c>
      <c r="G45" s="986">
        <f t="shared" si="0"/>
        <v>1.1578947368421053</v>
      </c>
      <c r="H45" s="986">
        <f t="shared" si="0"/>
        <v>1.1578947368421053</v>
      </c>
    </row>
    <row r="46" spans="1:8" s="217" customFormat="1" ht="21" customHeight="1">
      <c r="A46" s="225">
        <f t="shared" ref="A46:A56" si="1">A45+1</f>
        <v>11</v>
      </c>
      <c r="B46" s="238" t="s">
        <v>583</v>
      </c>
      <c r="C46" s="223">
        <v>26000</v>
      </c>
      <c r="D46" s="223">
        <v>26000</v>
      </c>
      <c r="E46" s="223">
        <v>28000</v>
      </c>
      <c r="F46" s="223">
        <v>28000</v>
      </c>
      <c r="G46" s="986">
        <f t="shared" si="0"/>
        <v>1.0769230769230769</v>
      </c>
      <c r="H46" s="986">
        <f t="shared" si="0"/>
        <v>1.0769230769230769</v>
      </c>
    </row>
    <row r="47" spans="1:8" s="217" customFormat="1" ht="21" customHeight="1">
      <c r="A47" s="225">
        <f t="shared" si="1"/>
        <v>12</v>
      </c>
      <c r="B47" s="238" t="s">
        <v>501</v>
      </c>
      <c r="C47" s="223">
        <v>400000</v>
      </c>
      <c r="D47" s="223">
        <v>400000</v>
      </c>
      <c r="E47" s="223">
        <v>390000</v>
      </c>
      <c r="F47" s="223">
        <v>390000</v>
      </c>
      <c r="G47" s="986">
        <f t="shared" si="0"/>
        <v>0.97499999999999998</v>
      </c>
      <c r="H47" s="986">
        <f t="shared" si="0"/>
        <v>0.97499999999999998</v>
      </c>
    </row>
    <row r="48" spans="1:8" s="217" customFormat="1" ht="21" customHeight="1">
      <c r="A48" s="225">
        <f t="shared" si="1"/>
        <v>13</v>
      </c>
      <c r="B48" s="238" t="s">
        <v>584</v>
      </c>
      <c r="C48" s="223">
        <v>2500</v>
      </c>
      <c r="D48" s="223">
        <v>2500</v>
      </c>
      <c r="E48" s="223">
        <v>2800</v>
      </c>
      <c r="F48" s="223">
        <v>2800</v>
      </c>
      <c r="G48" s="986">
        <f t="shared" si="0"/>
        <v>1.1200000000000001</v>
      </c>
      <c r="H48" s="986">
        <f t="shared" si="0"/>
        <v>1.1200000000000001</v>
      </c>
    </row>
    <row r="49" spans="1:14" s="217" customFormat="1" ht="21" customHeight="1">
      <c r="A49" s="225">
        <f t="shared" si="1"/>
        <v>14</v>
      </c>
      <c r="B49" s="238" t="s">
        <v>585</v>
      </c>
      <c r="C49" s="223">
        <v>117000</v>
      </c>
      <c r="D49" s="223">
        <v>117000</v>
      </c>
      <c r="E49" s="223">
        <v>82000</v>
      </c>
      <c r="F49" s="223">
        <v>82000</v>
      </c>
      <c r="G49" s="986">
        <f t="shared" si="0"/>
        <v>0.70085470085470081</v>
      </c>
      <c r="H49" s="986">
        <f t="shared" si="0"/>
        <v>0.70085470085470081</v>
      </c>
    </row>
    <row r="50" spans="1:14" s="217" customFormat="1" ht="21" customHeight="1">
      <c r="A50" s="225">
        <f>A49+1</f>
        <v>15</v>
      </c>
      <c r="B50" s="238" t="s">
        <v>586</v>
      </c>
      <c r="C50" s="223">
        <v>108400</v>
      </c>
      <c r="D50" s="223">
        <v>50300</v>
      </c>
      <c r="E50" s="223">
        <v>95000</v>
      </c>
      <c r="F50" s="223">
        <v>35500.000000000007</v>
      </c>
      <c r="G50" s="986">
        <f t="shared" si="0"/>
        <v>0.87638376383763839</v>
      </c>
      <c r="H50" s="986">
        <f t="shared" si="0"/>
        <v>0.7057654075546721</v>
      </c>
    </row>
    <row r="51" spans="1:14" s="217" customFormat="1" ht="21" customHeight="1">
      <c r="A51" s="225">
        <f t="shared" si="1"/>
        <v>16</v>
      </c>
      <c r="B51" s="238" t="s">
        <v>505</v>
      </c>
      <c r="C51" s="223">
        <v>73000</v>
      </c>
      <c r="D51" s="223">
        <v>30345</v>
      </c>
      <c r="E51" s="223">
        <v>68400</v>
      </c>
      <c r="F51" s="223">
        <v>28400</v>
      </c>
      <c r="G51" s="986">
        <f t="shared" si="0"/>
        <v>0.93698630136986305</v>
      </c>
      <c r="H51" s="986">
        <f t="shared" si="0"/>
        <v>0.93590377327401553</v>
      </c>
    </row>
    <row r="52" spans="1:14" s="217" customFormat="1" ht="21" customHeight="1">
      <c r="A52" s="225">
        <f t="shared" si="1"/>
        <v>17</v>
      </c>
      <c r="B52" s="238" t="s">
        <v>587</v>
      </c>
      <c r="C52" s="223">
        <v>700</v>
      </c>
      <c r="D52" s="223">
        <v>700</v>
      </c>
      <c r="E52" s="223">
        <v>0</v>
      </c>
      <c r="F52" s="223">
        <v>0</v>
      </c>
      <c r="G52" s="986">
        <f t="shared" si="0"/>
        <v>0</v>
      </c>
      <c r="H52" s="986">
        <f t="shared" si="0"/>
        <v>0</v>
      </c>
    </row>
    <row r="53" spans="1:14" s="217" customFormat="1" ht="21" customHeight="1">
      <c r="A53" s="225">
        <f t="shared" si="1"/>
        <v>18</v>
      </c>
      <c r="B53" s="238" t="s">
        <v>588</v>
      </c>
      <c r="C53" s="223">
        <v>12000</v>
      </c>
      <c r="D53" s="223">
        <v>12000</v>
      </c>
      <c r="E53" s="223">
        <v>4000</v>
      </c>
      <c r="F53" s="223">
        <v>4000</v>
      </c>
      <c r="G53" s="986">
        <f t="shared" si="0"/>
        <v>0.33333333333333331</v>
      </c>
      <c r="H53" s="986">
        <f t="shared" si="0"/>
        <v>0.33333333333333331</v>
      </c>
    </row>
    <row r="54" spans="1:14" s="217" customFormat="1" ht="56.25">
      <c r="A54" s="225">
        <f t="shared" si="1"/>
        <v>19</v>
      </c>
      <c r="B54" s="238" t="s">
        <v>589</v>
      </c>
      <c r="C54" s="223"/>
      <c r="D54" s="223"/>
      <c r="E54" s="223"/>
      <c r="F54" s="223"/>
      <c r="G54" s="986" t="str">
        <f t="shared" si="0"/>
        <v/>
      </c>
      <c r="H54" s="986" t="str">
        <f t="shared" si="0"/>
        <v/>
      </c>
    </row>
    <row r="55" spans="1:14" s="217" customFormat="1" ht="21" customHeight="1">
      <c r="A55" s="225">
        <f t="shared" si="1"/>
        <v>20</v>
      </c>
      <c r="B55" s="238" t="s">
        <v>590</v>
      </c>
      <c r="C55" s="223"/>
      <c r="D55" s="223"/>
      <c r="E55" s="223"/>
      <c r="F55" s="223"/>
      <c r="G55" s="986" t="str">
        <f t="shared" si="0"/>
        <v/>
      </c>
      <c r="H55" s="986" t="str">
        <f t="shared" si="0"/>
        <v/>
      </c>
    </row>
    <row r="56" spans="1:14" s="217" customFormat="1" ht="92.25" customHeight="1">
      <c r="A56" s="225">
        <f t="shared" si="1"/>
        <v>21</v>
      </c>
      <c r="B56" s="238" t="s">
        <v>591</v>
      </c>
      <c r="C56" s="223">
        <v>1000000</v>
      </c>
      <c r="D56" s="223">
        <f>C56</f>
        <v>1000000</v>
      </c>
      <c r="E56" s="223">
        <f>F56</f>
        <v>1654821</v>
      </c>
      <c r="F56" s="223">
        <f>F57+F58+F59</f>
        <v>1654821</v>
      </c>
      <c r="G56" s="986">
        <f t="shared" si="0"/>
        <v>1.6548210000000001</v>
      </c>
      <c r="H56" s="986">
        <f t="shared" si="0"/>
        <v>1.6548210000000001</v>
      </c>
      <c r="J56" s="217">
        <f>F56*2%</f>
        <v>33096.42</v>
      </c>
      <c r="L56" s="993">
        <f>F56*6.7%</f>
        <v>110873.00700000001</v>
      </c>
      <c r="M56" s="994">
        <v>6321.9021000000066</v>
      </c>
    </row>
    <row r="57" spans="1:14" s="219" customFormat="1" ht="27.75" customHeight="1">
      <c r="A57" s="233"/>
      <c r="B57" s="232" t="s">
        <v>592</v>
      </c>
      <c r="C57" s="231">
        <v>154327</v>
      </c>
      <c r="D57" s="231">
        <v>154327</v>
      </c>
      <c r="E57" s="231">
        <v>539450</v>
      </c>
      <c r="F57" s="231">
        <f>E57</f>
        <v>539450</v>
      </c>
      <c r="G57" s="992">
        <f t="shared" si="0"/>
        <v>3.4954998153271948</v>
      </c>
      <c r="H57" s="992">
        <f t="shared" si="0"/>
        <v>3.4954998153271948</v>
      </c>
      <c r="M57" s="995">
        <f>L56*70%</f>
        <v>77611.104900000006</v>
      </c>
      <c r="N57" s="995">
        <f>M57+M56</f>
        <v>83933.007000000012</v>
      </c>
    </row>
    <row r="58" spans="1:14" s="219" customFormat="1" ht="27.75" customHeight="1">
      <c r="A58" s="233"/>
      <c r="B58" s="232" t="s">
        <v>593</v>
      </c>
      <c r="C58" s="231">
        <v>15647</v>
      </c>
      <c r="D58" s="231">
        <v>15647</v>
      </c>
      <c r="E58" s="231">
        <v>9268</v>
      </c>
      <c r="F58" s="231">
        <f t="shared" ref="F58:F59" si="2">E58</f>
        <v>9268</v>
      </c>
      <c r="G58" s="992"/>
      <c r="H58" s="992"/>
      <c r="M58" s="995"/>
      <c r="N58" s="995"/>
    </row>
    <row r="59" spans="1:14" s="219" customFormat="1" ht="27.75" customHeight="1">
      <c r="A59" s="233"/>
      <c r="B59" s="232" t="s">
        <v>594</v>
      </c>
      <c r="C59" s="231">
        <v>556025.72080000001</v>
      </c>
      <c r="D59" s="231">
        <v>556025.72080000001</v>
      </c>
      <c r="E59" s="231">
        <v>1106103</v>
      </c>
      <c r="F59" s="231">
        <f t="shared" si="2"/>
        <v>1106103</v>
      </c>
      <c r="G59" s="992"/>
      <c r="H59" s="992"/>
      <c r="M59" s="995"/>
      <c r="N59" s="995"/>
    </row>
    <row r="60" spans="1:14" s="208" customFormat="1" ht="21" customHeight="1">
      <c r="A60" s="225" t="s">
        <v>25</v>
      </c>
      <c r="B60" s="238" t="s">
        <v>595</v>
      </c>
      <c r="C60" s="222"/>
      <c r="D60" s="222"/>
      <c r="E60" s="222"/>
      <c r="F60" s="222"/>
      <c r="G60" s="990" t="str">
        <f t="shared" si="0"/>
        <v/>
      </c>
      <c r="H60" s="990" t="str">
        <f t="shared" si="0"/>
        <v/>
      </c>
      <c r="L60" s="546">
        <f>F57*70%</f>
        <v>377615</v>
      </c>
      <c r="M60" s="996">
        <v>404555</v>
      </c>
    </row>
    <row r="61" spans="1:14" s="217" customFormat="1" ht="21" customHeight="1">
      <c r="A61" s="225" t="s">
        <v>32</v>
      </c>
      <c r="B61" s="238" t="s">
        <v>510</v>
      </c>
      <c r="C61" s="223">
        <f>SUM(C62:C68)</f>
        <v>316000</v>
      </c>
      <c r="D61" s="223">
        <f>SUM(D62:D68)</f>
        <v>0</v>
      </c>
      <c r="E61" s="223">
        <f>SUM(E62:E68)</f>
        <v>320000</v>
      </c>
      <c r="F61" s="223">
        <f>SUM(F62:F68)</f>
        <v>0</v>
      </c>
      <c r="G61" s="986">
        <f t="shared" si="0"/>
        <v>1.0126582278481013</v>
      </c>
      <c r="H61" s="986" t="str">
        <f t="shared" si="0"/>
        <v/>
      </c>
    </row>
    <row r="62" spans="1:14" s="208" customFormat="1" ht="21" customHeight="1">
      <c r="A62" s="228">
        <v>1</v>
      </c>
      <c r="B62" s="227" t="s">
        <v>596</v>
      </c>
      <c r="C62" s="222">
        <v>309000</v>
      </c>
      <c r="D62" s="222"/>
      <c r="E62" s="222">
        <v>314000</v>
      </c>
      <c r="F62" s="222"/>
      <c r="G62" s="990">
        <f t="shared" si="0"/>
        <v>1.0161812297734627</v>
      </c>
      <c r="H62" s="990" t="str">
        <f t="shared" si="0"/>
        <v/>
      </c>
    </row>
    <row r="63" spans="1:14" s="208" customFormat="1" ht="21" customHeight="1">
      <c r="A63" s="228">
        <v>2</v>
      </c>
      <c r="B63" s="227" t="s">
        <v>512</v>
      </c>
      <c r="C63" s="222">
        <v>6000</v>
      </c>
      <c r="D63" s="222"/>
      <c r="E63" s="222">
        <v>4000</v>
      </c>
      <c r="F63" s="222"/>
      <c r="G63" s="990">
        <f t="shared" si="0"/>
        <v>0.66666666666666663</v>
      </c>
      <c r="H63" s="990" t="str">
        <f t="shared" si="0"/>
        <v/>
      </c>
    </row>
    <row r="64" spans="1:14" s="208" customFormat="1" ht="21" customHeight="1">
      <c r="A64" s="228">
        <v>3</v>
      </c>
      <c r="B64" s="227" t="s">
        <v>513</v>
      </c>
      <c r="C64" s="222">
        <v>300</v>
      </c>
      <c r="D64" s="222"/>
      <c r="E64" s="222">
        <v>1400</v>
      </c>
      <c r="F64" s="222"/>
      <c r="G64" s="990">
        <f t="shared" si="0"/>
        <v>4.666666666666667</v>
      </c>
      <c r="H64" s="990" t="str">
        <f t="shared" si="0"/>
        <v/>
      </c>
    </row>
    <row r="65" spans="1:8" s="208" customFormat="1" ht="21" hidden="1" customHeight="1" outlineLevel="1">
      <c r="A65" s="228">
        <v>4</v>
      </c>
      <c r="B65" s="227" t="s">
        <v>597</v>
      </c>
      <c r="C65" s="222"/>
      <c r="D65" s="222"/>
      <c r="E65" s="222"/>
      <c r="F65" s="222"/>
      <c r="G65" s="990" t="str">
        <f t="shared" si="0"/>
        <v/>
      </c>
      <c r="H65" s="990" t="str">
        <f t="shared" si="0"/>
        <v/>
      </c>
    </row>
    <row r="66" spans="1:8" s="208" customFormat="1" ht="21" hidden="1" customHeight="1" outlineLevel="1">
      <c r="A66" s="228">
        <v>5</v>
      </c>
      <c r="B66" s="227" t="s">
        <v>598</v>
      </c>
      <c r="C66" s="222">
        <v>0</v>
      </c>
      <c r="D66" s="222"/>
      <c r="E66" s="222"/>
      <c r="F66" s="222"/>
      <c r="G66" s="990"/>
      <c r="H66" s="990" t="str">
        <f t="shared" si="0"/>
        <v/>
      </c>
    </row>
    <row r="67" spans="1:8" s="208" customFormat="1" ht="21" hidden="1" customHeight="1" outlineLevel="1">
      <c r="A67" s="228">
        <v>6</v>
      </c>
      <c r="B67" s="227" t="s">
        <v>488</v>
      </c>
      <c r="C67" s="222"/>
      <c r="D67" s="222"/>
      <c r="E67" s="222"/>
      <c r="F67" s="222"/>
      <c r="G67" s="990"/>
      <c r="H67" s="990"/>
    </row>
    <row r="68" spans="1:8" s="208" customFormat="1" ht="21" customHeight="1" collapsed="1">
      <c r="A68" s="228">
        <v>4</v>
      </c>
      <c r="B68" s="227" t="s">
        <v>514</v>
      </c>
      <c r="C68" s="222">
        <v>700</v>
      </c>
      <c r="D68" s="222"/>
      <c r="E68" s="222">
        <v>600</v>
      </c>
      <c r="F68" s="222"/>
      <c r="G68" s="990"/>
      <c r="H68" s="990" t="str">
        <f t="shared" si="0"/>
        <v/>
      </c>
    </row>
    <row r="69" spans="1:8" s="217" customFormat="1" ht="21" customHeight="1">
      <c r="A69" s="225" t="s">
        <v>67</v>
      </c>
      <c r="B69" s="238" t="s">
        <v>515</v>
      </c>
      <c r="C69" s="223"/>
      <c r="D69" s="223">
        <v>0</v>
      </c>
      <c r="E69" s="223"/>
      <c r="F69" s="223"/>
      <c r="G69" s="986" t="str">
        <f t="shared" si="0"/>
        <v/>
      </c>
      <c r="H69" s="986" t="str">
        <f t="shared" si="0"/>
        <v/>
      </c>
    </row>
    <row r="70" spans="1:8" ht="15.95" customHeight="1">
      <c r="A70" s="220"/>
      <c r="B70" s="997"/>
      <c r="C70" s="220"/>
      <c r="D70" s="220"/>
      <c r="E70" s="220"/>
      <c r="F70" s="220"/>
      <c r="G70" s="220"/>
      <c r="H70" s="220"/>
    </row>
    <row r="71" spans="1:8" ht="20.25" customHeight="1">
      <c r="A71" s="1049" t="s">
        <v>599</v>
      </c>
      <c r="B71" s="1049"/>
      <c r="C71" s="1049"/>
      <c r="D71" s="1049"/>
      <c r="E71" s="1049"/>
      <c r="F71" s="1049"/>
      <c r="G71" s="1049"/>
      <c r="H71" s="1049"/>
    </row>
    <row r="72" spans="1:8" ht="44.25" customHeight="1">
      <c r="A72" s="208"/>
      <c r="B72" s="1045" t="s">
        <v>600</v>
      </c>
      <c r="C72" s="1045"/>
      <c r="D72" s="1045"/>
      <c r="E72" s="1045"/>
      <c r="F72" s="1045"/>
      <c r="G72" s="1045"/>
      <c r="H72" s="1045"/>
    </row>
    <row r="73" spans="1:8" ht="44.25" customHeight="1">
      <c r="A73" s="208"/>
      <c r="B73" s="1045" t="s">
        <v>518</v>
      </c>
      <c r="C73" s="1045"/>
      <c r="D73" s="1045"/>
      <c r="E73" s="1045"/>
      <c r="F73" s="1045"/>
      <c r="G73" s="1045"/>
      <c r="H73" s="1045"/>
    </row>
    <row r="74" spans="1:8" ht="44.25" customHeight="1">
      <c r="A74" s="208"/>
      <c r="B74" s="1048" t="s">
        <v>519</v>
      </c>
      <c r="C74" s="1048"/>
      <c r="D74" s="1048"/>
      <c r="E74" s="1048"/>
      <c r="F74" s="1048"/>
      <c r="G74" s="1048"/>
      <c r="H74" s="1045"/>
    </row>
    <row r="75" spans="1:8" ht="44.25" customHeight="1">
      <c r="A75" s="208"/>
      <c r="B75" s="1048" t="s">
        <v>520</v>
      </c>
      <c r="C75" s="1048"/>
      <c r="D75" s="1048"/>
      <c r="E75" s="1048"/>
      <c r="F75" s="1048"/>
      <c r="G75" s="1048"/>
      <c r="H75" s="1045"/>
    </row>
    <row r="76" spans="1:8" ht="44.25" customHeight="1">
      <c r="A76" s="208"/>
      <c r="B76" s="1045" t="s">
        <v>601</v>
      </c>
      <c r="C76" s="1045"/>
      <c r="D76" s="1045"/>
      <c r="E76" s="1045"/>
      <c r="F76" s="1045"/>
      <c r="G76" s="1045"/>
      <c r="H76" s="1045"/>
    </row>
    <row r="77" spans="1:8" ht="20.25" customHeight="1">
      <c r="A77" s="208"/>
      <c r="B77" s="981" t="s">
        <v>522</v>
      </c>
    </row>
    <row r="78" spans="1:8" ht="20.25" customHeight="1">
      <c r="A78" s="208"/>
      <c r="B78" s="981" t="s">
        <v>522</v>
      </c>
    </row>
    <row r="79" spans="1:8" ht="18.75">
      <c r="A79" s="208"/>
      <c r="B79" s="998"/>
      <c r="C79" s="208"/>
      <c r="D79" s="208"/>
      <c r="E79" s="208"/>
      <c r="F79" s="208"/>
      <c r="G79" s="208"/>
      <c r="H79" s="208"/>
    </row>
    <row r="80" spans="1:8" ht="18.75">
      <c r="A80" s="208"/>
      <c r="B80" s="998"/>
      <c r="C80" s="208"/>
      <c r="D80" s="208"/>
      <c r="E80" s="208"/>
      <c r="F80" s="208"/>
      <c r="G80" s="208"/>
      <c r="H80" s="208"/>
    </row>
    <row r="81" spans="1:8" ht="18.75">
      <c r="A81" s="208"/>
      <c r="B81" s="998"/>
      <c r="C81" s="208"/>
      <c r="D81" s="208"/>
      <c r="E81" s="208"/>
      <c r="F81" s="208"/>
      <c r="G81" s="208"/>
      <c r="H81" s="208"/>
    </row>
  </sheetData>
  <mergeCells count="20">
    <mergeCell ref="B73:H73"/>
    <mergeCell ref="B74:H74"/>
    <mergeCell ref="B75:H75"/>
    <mergeCell ref="B76:H76"/>
    <mergeCell ref="E6:E7"/>
    <mergeCell ref="F6:F7"/>
    <mergeCell ref="G6:G7"/>
    <mergeCell ref="H6:H7"/>
    <mergeCell ref="A71:H71"/>
    <mergeCell ref="B72:H72"/>
    <mergeCell ref="G1:H1"/>
    <mergeCell ref="A2:H2"/>
    <mergeCell ref="A3:H3"/>
    <mergeCell ref="A5:A7"/>
    <mergeCell ref="B5:B7"/>
    <mergeCell ref="C5:D5"/>
    <mergeCell ref="E5:F5"/>
    <mergeCell ref="G5:H5"/>
    <mergeCell ref="C6:C7"/>
    <mergeCell ref="D6:D7"/>
  </mergeCells>
  <printOptions horizontalCentered="1"/>
  <pageMargins left="0.31496062992125984" right="0.35433070866141736" top="0.51181102362204722" bottom="0.51181102362204722" header="0.27559055118110237" footer="0.19685039370078741"/>
  <pageSetup paperSize="9" scale="63" fitToHeight="0" orientation="portrait" r:id="rId1"/>
  <headerFooter alignWithMargins="0">
    <oddHeader xml:space="preserve">&amp;C                                                                                                                                  </oddHeader>
    <oddFooter>&amp;C&amp;".VnTime,  Italic"&amp;8
&amp;".VnTime,Regular"&amp;12&amp;P/&amp;N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147"/>
  <sheetViews>
    <sheetView showZeros="0" zoomScale="70" zoomScaleNormal="70" workbookViewId="0">
      <pane xSplit="1" ySplit="8" topLeftCell="B33" activePane="bottomRight" state="frozen"/>
      <selection activeCell="D18" sqref="D18"/>
      <selection pane="topRight" activeCell="D18" sqref="D18"/>
      <selection pane="bottomLeft" activeCell="D18" sqref="D18"/>
      <selection pane="bottomRight" activeCell="D47" sqref="D47"/>
    </sheetView>
  </sheetViews>
  <sheetFormatPr defaultRowHeight="15.75"/>
  <cols>
    <col min="1" max="1" width="5.85546875" style="212" customWidth="1"/>
    <col min="2" max="2" width="66.140625" style="212" customWidth="1"/>
    <col min="3" max="3" width="14.85546875" style="212" customWidth="1"/>
    <col min="4" max="4" width="14.7109375" style="212" customWidth="1"/>
    <col min="5" max="5" width="13.42578125" style="212" customWidth="1"/>
    <col min="6" max="6" width="11.28515625" style="212" customWidth="1"/>
    <col min="7" max="7" width="20.85546875" style="212" hidden="1" customWidth="1"/>
    <col min="8" max="256" width="9.140625" style="212"/>
    <col min="257" max="257" width="5.85546875" style="212" customWidth="1"/>
    <col min="258" max="258" width="66.140625" style="212" customWidth="1"/>
    <col min="259" max="259" width="14.85546875" style="212" customWidth="1"/>
    <col min="260" max="260" width="14.7109375" style="212" customWidth="1"/>
    <col min="261" max="261" width="13.42578125" style="212" customWidth="1"/>
    <col min="262" max="262" width="11.28515625" style="212" customWidth="1"/>
    <col min="263" max="263" width="20.85546875" style="212" customWidth="1"/>
    <col min="264" max="512" width="9.140625" style="212"/>
    <col min="513" max="513" width="5.85546875" style="212" customWidth="1"/>
    <col min="514" max="514" width="66.140625" style="212" customWidth="1"/>
    <col min="515" max="515" width="14.85546875" style="212" customWidth="1"/>
    <col min="516" max="516" width="14.7109375" style="212" customWidth="1"/>
    <col min="517" max="517" width="13.42578125" style="212" customWidth="1"/>
    <col min="518" max="518" width="11.28515625" style="212" customWidth="1"/>
    <col min="519" max="519" width="20.85546875" style="212" customWidth="1"/>
    <col min="520" max="768" width="9.140625" style="212"/>
    <col min="769" max="769" width="5.85546875" style="212" customWidth="1"/>
    <col min="770" max="770" width="66.140625" style="212" customWidth="1"/>
    <col min="771" max="771" width="14.85546875" style="212" customWidth="1"/>
    <col min="772" max="772" width="14.7109375" style="212" customWidth="1"/>
    <col min="773" max="773" width="13.42578125" style="212" customWidth="1"/>
    <col min="774" max="774" width="11.28515625" style="212" customWidth="1"/>
    <col min="775" max="775" width="20.85546875" style="212" customWidth="1"/>
    <col min="776" max="1024" width="9.140625" style="212"/>
    <col min="1025" max="1025" width="5.85546875" style="212" customWidth="1"/>
    <col min="1026" max="1026" width="66.140625" style="212" customWidth="1"/>
    <col min="1027" max="1027" width="14.85546875" style="212" customWidth="1"/>
    <col min="1028" max="1028" width="14.7109375" style="212" customWidth="1"/>
    <col min="1029" max="1029" width="13.42578125" style="212" customWidth="1"/>
    <col min="1030" max="1030" width="11.28515625" style="212" customWidth="1"/>
    <col min="1031" max="1031" width="20.85546875" style="212" customWidth="1"/>
    <col min="1032" max="1280" width="9.140625" style="212"/>
    <col min="1281" max="1281" width="5.85546875" style="212" customWidth="1"/>
    <col min="1282" max="1282" width="66.140625" style="212" customWidth="1"/>
    <col min="1283" max="1283" width="14.85546875" style="212" customWidth="1"/>
    <col min="1284" max="1284" width="14.7109375" style="212" customWidth="1"/>
    <col min="1285" max="1285" width="13.42578125" style="212" customWidth="1"/>
    <col min="1286" max="1286" width="11.28515625" style="212" customWidth="1"/>
    <col min="1287" max="1287" width="20.85546875" style="212" customWidth="1"/>
    <col min="1288" max="1536" width="9.140625" style="212"/>
    <col min="1537" max="1537" width="5.85546875" style="212" customWidth="1"/>
    <col min="1538" max="1538" width="66.140625" style="212" customWidth="1"/>
    <col min="1539" max="1539" width="14.85546875" style="212" customWidth="1"/>
    <col min="1540" max="1540" width="14.7109375" style="212" customWidth="1"/>
    <col min="1541" max="1541" width="13.42578125" style="212" customWidth="1"/>
    <col min="1542" max="1542" width="11.28515625" style="212" customWidth="1"/>
    <col min="1543" max="1543" width="20.85546875" style="212" customWidth="1"/>
    <col min="1544" max="1792" width="9.140625" style="212"/>
    <col min="1793" max="1793" width="5.85546875" style="212" customWidth="1"/>
    <col min="1794" max="1794" width="66.140625" style="212" customWidth="1"/>
    <col min="1795" max="1795" width="14.85546875" style="212" customWidth="1"/>
    <col min="1796" max="1796" width="14.7109375" style="212" customWidth="1"/>
    <col min="1797" max="1797" width="13.42578125" style="212" customWidth="1"/>
    <col min="1798" max="1798" width="11.28515625" style="212" customWidth="1"/>
    <col min="1799" max="1799" width="20.85546875" style="212" customWidth="1"/>
    <col min="1800" max="2048" width="9.140625" style="212"/>
    <col min="2049" max="2049" width="5.85546875" style="212" customWidth="1"/>
    <col min="2050" max="2050" width="66.140625" style="212" customWidth="1"/>
    <col min="2051" max="2051" width="14.85546875" style="212" customWidth="1"/>
    <col min="2052" max="2052" width="14.7109375" style="212" customWidth="1"/>
    <col min="2053" max="2053" width="13.42578125" style="212" customWidth="1"/>
    <col min="2054" max="2054" width="11.28515625" style="212" customWidth="1"/>
    <col min="2055" max="2055" width="20.85546875" style="212" customWidth="1"/>
    <col min="2056" max="2304" width="9.140625" style="212"/>
    <col min="2305" max="2305" width="5.85546875" style="212" customWidth="1"/>
    <col min="2306" max="2306" width="66.140625" style="212" customWidth="1"/>
    <col min="2307" max="2307" width="14.85546875" style="212" customWidth="1"/>
    <col min="2308" max="2308" width="14.7109375" style="212" customWidth="1"/>
    <col min="2309" max="2309" width="13.42578125" style="212" customWidth="1"/>
    <col min="2310" max="2310" width="11.28515625" style="212" customWidth="1"/>
    <col min="2311" max="2311" width="20.85546875" style="212" customWidth="1"/>
    <col min="2312" max="2560" width="9.140625" style="212"/>
    <col min="2561" max="2561" width="5.85546875" style="212" customWidth="1"/>
    <col min="2562" max="2562" width="66.140625" style="212" customWidth="1"/>
    <col min="2563" max="2563" width="14.85546875" style="212" customWidth="1"/>
    <col min="2564" max="2564" width="14.7109375" style="212" customWidth="1"/>
    <col min="2565" max="2565" width="13.42578125" style="212" customWidth="1"/>
    <col min="2566" max="2566" width="11.28515625" style="212" customWidth="1"/>
    <col min="2567" max="2567" width="20.85546875" style="212" customWidth="1"/>
    <col min="2568" max="2816" width="9.140625" style="212"/>
    <col min="2817" max="2817" width="5.85546875" style="212" customWidth="1"/>
    <col min="2818" max="2818" width="66.140625" style="212" customWidth="1"/>
    <col min="2819" max="2819" width="14.85546875" style="212" customWidth="1"/>
    <col min="2820" max="2820" width="14.7109375" style="212" customWidth="1"/>
    <col min="2821" max="2821" width="13.42578125" style="212" customWidth="1"/>
    <col min="2822" max="2822" width="11.28515625" style="212" customWidth="1"/>
    <col min="2823" max="2823" width="20.85546875" style="212" customWidth="1"/>
    <col min="2824" max="3072" width="9.140625" style="212"/>
    <col min="3073" max="3073" width="5.85546875" style="212" customWidth="1"/>
    <col min="3074" max="3074" width="66.140625" style="212" customWidth="1"/>
    <col min="3075" max="3075" width="14.85546875" style="212" customWidth="1"/>
    <col min="3076" max="3076" width="14.7109375" style="212" customWidth="1"/>
    <col min="3077" max="3077" width="13.42578125" style="212" customWidth="1"/>
    <col min="3078" max="3078" width="11.28515625" style="212" customWidth="1"/>
    <col min="3079" max="3079" width="20.85546875" style="212" customWidth="1"/>
    <col min="3080" max="3328" width="9.140625" style="212"/>
    <col min="3329" max="3329" width="5.85546875" style="212" customWidth="1"/>
    <col min="3330" max="3330" width="66.140625" style="212" customWidth="1"/>
    <col min="3331" max="3331" width="14.85546875" style="212" customWidth="1"/>
    <col min="3332" max="3332" width="14.7109375" style="212" customWidth="1"/>
    <col min="3333" max="3333" width="13.42578125" style="212" customWidth="1"/>
    <col min="3334" max="3334" width="11.28515625" style="212" customWidth="1"/>
    <col min="3335" max="3335" width="20.85546875" style="212" customWidth="1"/>
    <col min="3336" max="3584" width="9.140625" style="212"/>
    <col min="3585" max="3585" width="5.85546875" style="212" customWidth="1"/>
    <col min="3586" max="3586" width="66.140625" style="212" customWidth="1"/>
    <col min="3587" max="3587" width="14.85546875" style="212" customWidth="1"/>
    <col min="3588" max="3588" width="14.7109375" style="212" customWidth="1"/>
    <col min="3589" max="3589" width="13.42578125" style="212" customWidth="1"/>
    <col min="3590" max="3590" width="11.28515625" style="212" customWidth="1"/>
    <col min="3591" max="3591" width="20.85546875" style="212" customWidth="1"/>
    <col min="3592" max="3840" width="9.140625" style="212"/>
    <col min="3841" max="3841" width="5.85546875" style="212" customWidth="1"/>
    <col min="3842" max="3842" width="66.140625" style="212" customWidth="1"/>
    <col min="3843" max="3843" width="14.85546875" style="212" customWidth="1"/>
    <col min="3844" max="3844" width="14.7109375" style="212" customWidth="1"/>
    <col min="3845" max="3845" width="13.42578125" style="212" customWidth="1"/>
    <col min="3846" max="3846" width="11.28515625" style="212" customWidth="1"/>
    <col min="3847" max="3847" width="20.85546875" style="212" customWidth="1"/>
    <col min="3848" max="4096" width="9.140625" style="212"/>
    <col min="4097" max="4097" width="5.85546875" style="212" customWidth="1"/>
    <col min="4098" max="4098" width="66.140625" style="212" customWidth="1"/>
    <col min="4099" max="4099" width="14.85546875" style="212" customWidth="1"/>
    <col min="4100" max="4100" width="14.7109375" style="212" customWidth="1"/>
    <col min="4101" max="4101" width="13.42578125" style="212" customWidth="1"/>
    <col min="4102" max="4102" width="11.28515625" style="212" customWidth="1"/>
    <col min="4103" max="4103" width="20.85546875" style="212" customWidth="1"/>
    <col min="4104" max="4352" width="9.140625" style="212"/>
    <col min="4353" max="4353" width="5.85546875" style="212" customWidth="1"/>
    <col min="4354" max="4354" width="66.140625" style="212" customWidth="1"/>
    <col min="4355" max="4355" width="14.85546875" style="212" customWidth="1"/>
    <col min="4356" max="4356" width="14.7109375" style="212" customWidth="1"/>
    <col min="4357" max="4357" width="13.42578125" style="212" customWidth="1"/>
    <col min="4358" max="4358" width="11.28515625" style="212" customWidth="1"/>
    <col min="4359" max="4359" width="20.85546875" style="212" customWidth="1"/>
    <col min="4360" max="4608" width="9.140625" style="212"/>
    <col min="4609" max="4609" width="5.85546875" style="212" customWidth="1"/>
    <col min="4610" max="4610" width="66.140625" style="212" customWidth="1"/>
    <col min="4611" max="4611" width="14.85546875" style="212" customWidth="1"/>
    <col min="4612" max="4612" width="14.7109375" style="212" customWidth="1"/>
    <col min="4613" max="4613" width="13.42578125" style="212" customWidth="1"/>
    <col min="4614" max="4614" width="11.28515625" style="212" customWidth="1"/>
    <col min="4615" max="4615" width="20.85546875" style="212" customWidth="1"/>
    <col min="4616" max="4864" width="9.140625" style="212"/>
    <col min="4865" max="4865" width="5.85546875" style="212" customWidth="1"/>
    <col min="4866" max="4866" width="66.140625" style="212" customWidth="1"/>
    <col min="4867" max="4867" width="14.85546875" style="212" customWidth="1"/>
    <col min="4868" max="4868" width="14.7109375" style="212" customWidth="1"/>
    <col min="4869" max="4869" width="13.42578125" style="212" customWidth="1"/>
    <col min="4870" max="4870" width="11.28515625" style="212" customWidth="1"/>
    <col min="4871" max="4871" width="20.85546875" style="212" customWidth="1"/>
    <col min="4872" max="5120" width="9.140625" style="212"/>
    <col min="5121" max="5121" width="5.85546875" style="212" customWidth="1"/>
    <col min="5122" max="5122" width="66.140625" style="212" customWidth="1"/>
    <col min="5123" max="5123" width="14.85546875" style="212" customWidth="1"/>
    <col min="5124" max="5124" width="14.7109375" style="212" customWidth="1"/>
    <col min="5125" max="5125" width="13.42578125" style="212" customWidth="1"/>
    <col min="5126" max="5126" width="11.28515625" style="212" customWidth="1"/>
    <col min="5127" max="5127" width="20.85546875" style="212" customWidth="1"/>
    <col min="5128" max="5376" width="9.140625" style="212"/>
    <col min="5377" max="5377" width="5.85546875" style="212" customWidth="1"/>
    <col min="5378" max="5378" width="66.140625" style="212" customWidth="1"/>
    <col min="5379" max="5379" width="14.85546875" style="212" customWidth="1"/>
    <col min="5380" max="5380" width="14.7109375" style="212" customWidth="1"/>
    <col min="5381" max="5381" width="13.42578125" style="212" customWidth="1"/>
    <col min="5382" max="5382" width="11.28515625" style="212" customWidth="1"/>
    <col min="5383" max="5383" width="20.85546875" style="212" customWidth="1"/>
    <col min="5384" max="5632" width="9.140625" style="212"/>
    <col min="5633" max="5633" width="5.85546875" style="212" customWidth="1"/>
    <col min="5634" max="5634" width="66.140625" style="212" customWidth="1"/>
    <col min="5635" max="5635" width="14.85546875" style="212" customWidth="1"/>
    <col min="5636" max="5636" width="14.7109375" style="212" customWidth="1"/>
    <col min="5637" max="5637" width="13.42578125" style="212" customWidth="1"/>
    <col min="5638" max="5638" width="11.28515625" style="212" customWidth="1"/>
    <col min="5639" max="5639" width="20.85546875" style="212" customWidth="1"/>
    <col min="5640" max="5888" width="9.140625" style="212"/>
    <col min="5889" max="5889" width="5.85546875" style="212" customWidth="1"/>
    <col min="5890" max="5890" width="66.140625" style="212" customWidth="1"/>
    <col min="5891" max="5891" width="14.85546875" style="212" customWidth="1"/>
    <col min="5892" max="5892" width="14.7109375" style="212" customWidth="1"/>
    <col min="5893" max="5893" width="13.42578125" style="212" customWidth="1"/>
    <col min="5894" max="5894" width="11.28515625" style="212" customWidth="1"/>
    <col min="5895" max="5895" width="20.85546875" style="212" customWidth="1"/>
    <col min="5896" max="6144" width="9.140625" style="212"/>
    <col min="6145" max="6145" width="5.85546875" style="212" customWidth="1"/>
    <col min="6146" max="6146" width="66.140625" style="212" customWidth="1"/>
    <col min="6147" max="6147" width="14.85546875" style="212" customWidth="1"/>
    <col min="6148" max="6148" width="14.7109375" style="212" customWidth="1"/>
    <col min="6149" max="6149" width="13.42578125" style="212" customWidth="1"/>
    <col min="6150" max="6150" width="11.28515625" style="212" customWidth="1"/>
    <col min="6151" max="6151" width="20.85546875" style="212" customWidth="1"/>
    <col min="6152" max="6400" width="9.140625" style="212"/>
    <col min="6401" max="6401" width="5.85546875" style="212" customWidth="1"/>
    <col min="6402" max="6402" width="66.140625" style="212" customWidth="1"/>
    <col min="6403" max="6403" width="14.85546875" style="212" customWidth="1"/>
    <col min="6404" max="6404" width="14.7109375" style="212" customWidth="1"/>
    <col min="6405" max="6405" width="13.42578125" style="212" customWidth="1"/>
    <col min="6406" max="6406" width="11.28515625" style="212" customWidth="1"/>
    <col min="6407" max="6407" width="20.85546875" style="212" customWidth="1"/>
    <col min="6408" max="6656" width="9.140625" style="212"/>
    <col min="6657" max="6657" width="5.85546875" style="212" customWidth="1"/>
    <col min="6658" max="6658" width="66.140625" style="212" customWidth="1"/>
    <col min="6659" max="6659" width="14.85546875" style="212" customWidth="1"/>
    <col min="6660" max="6660" width="14.7109375" style="212" customWidth="1"/>
    <col min="6661" max="6661" width="13.42578125" style="212" customWidth="1"/>
    <col min="6662" max="6662" width="11.28515625" style="212" customWidth="1"/>
    <col min="6663" max="6663" width="20.85546875" style="212" customWidth="1"/>
    <col min="6664" max="6912" width="9.140625" style="212"/>
    <col min="6913" max="6913" width="5.85546875" style="212" customWidth="1"/>
    <col min="6914" max="6914" width="66.140625" style="212" customWidth="1"/>
    <col min="6915" max="6915" width="14.85546875" style="212" customWidth="1"/>
    <col min="6916" max="6916" width="14.7109375" style="212" customWidth="1"/>
    <col min="6917" max="6917" width="13.42578125" style="212" customWidth="1"/>
    <col min="6918" max="6918" width="11.28515625" style="212" customWidth="1"/>
    <col min="6919" max="6919" width="20.85546875" style="212" customWidth="1"/>
    <col min="6920" max="7168" width="9.140625" style="212"/>
    <col min="7169" max="7169" width="5.85546875" style="212" customWidth="1"/>
    <col min="7170" max="7170" width="66.140625" style="212" customWidth="1"/>
    <col min="7171" max="7171" width="14.85546875" style="212" customWidth="1"/>
    <col min="7172" max="7172" width="14.7109375" style="212" customWidth="1"/>
    <col min="7173" max="7173" width="13.42578125" style="212" customWidth="1"/>
    <col min="7174" max="7174" width="11.28515625" style="212" customWidth="1"/>
    <col min="7175" max="7175" width="20.85546875" style="212" customWidth="1"/>
    <col min="7176" max="7424" width="9.140625" style="212"/>
    <col min="7425" max="7425" width="5.85546875" style="212" customWidth="1"/>
    <col min="7426" max="7426" width="66.140625" style="212" customWidth="1"/>
    <col min="7427" max="7427" width="14.85546875" style="212" customWidth="1"/>
    <col min="7428" max="7428" width="14.7109375" style="212" customWidth="1"/>
    <col min="7429" max="7429" width="13.42578125" style="212" customWidth="1"/>
    <col min="7430" max="7430" width="11.28515625" style="212" customWidth="1"/>
    <col min="7431" max="7431" width="20.85546875" style="212" customWidth="1"/>
    <col min="7432" max="7680" width="9.140625" style="212"/>
    <col min="7681" max="7681" width="5.85546875" style="212" customWidth="1"/>
    <col min="7682" max="7682" width="66.140625" style="212" customWidth="1"/>
    <col min="7683" max="7683" width="14.85546875" style="212" customWidth="1"/>
    <col min="7684" max="7684" width="14.7109375" style="212" customWidth="1"/>
    <col min="7685" max="7685" width="13.42578125" style="212" customWidth="1"/>
    <col min="7686" max="7686" width="11.28515625" style="212" customWidth="1"/>
    <col min="7687" max="7687" width="20.85546875" style="212" customWidth="1"/>
    <col min="7688" max="7936" width="9.140625" style="212"/>
    <col min="7937" max="7937" width="5.85546875" style="212" customWidth="1"/>
    <col min="7938" max="7938" width="66.140625" style="212" customWidth="1"/>
    <col min="7939" max="7939" width="14.85546875" style="212" customWidth="1"/>
    <col min="7940" max="7940" width="14.7109375" style="212" customWidth="1"/>
    <col min="7941" max="7941" width="13.42578125" style="212" customWidth="1"/>
    <col min="7942" max="7942" width="11.28515625" style="212" customWidth="1"/>
    <col min="7943" max="7943" width="20.85546875" style="212" customWidth="1"/>
    <col min="7944" max="8192" width="9.140625" style="212"/>
    <col min="8193" max="8193" width="5.85546875" style="212" customWidth="1"/>
    <col min="8194" max="8194" width="66.140625" style="212" customWidth="1"/>
    <col min="8195" max="8195" width="14.85546875" style="212" customWidth="1"/>
    <col min="8196" max="8196" width="14.7109375" style="212" customWidth="1"/>
    <col min="8197" max="8197" width="13.42578125" style="212" customWidth="1"/>
    <col min="8198" max="8198" width="11.28515625" style="212" customWidth="1"/>
    <col min="8199" max="8199" width="20.85546875" style="212" customWidth="1"/>
    <col min="8200" max="8448" width="9.140625" style="212"/>
    <col min="8449" max="8449" width="5.85546875" style="212" customWidth="1"/>
    <col min="8450" max="8450" width="66.140625" style="212" customWidth="1"/>
    <col min="8451" max="8451" width="14.85546875" style="212" customWidth="1"/>
    <col min="8452" max="8452" width="14.7109375" style="212" customWidth="1"/>
    <col min="8453" max="8453" width="13.42578125" style="212" customWidth="1"/>
    <col min="8454" max="8454" width="11.28515625" style="212" customWidth="1"/>
    <col min="8455" max="8455" width="20.85546875" style="212" customWidth="1"/>
    <col min="8456" max="8704" width="9.140625" style="212"/>
    <col min="8705" max="8705" width="5.85546875" style="212" customWidth="1"/>
    <col min="8706" max="8706" width="66.140625" style="212" customWidth="1"/>
    <col min="8707" max="8707" width="14.85546875" style="212" customWidth="1"/>
    <col min="8708" max="8708" width="14.7109375" style="212" customWidth="1"/>
    <col min="8709" max="8709" width="13.42578125" style="212" customWidth="1"/>
    <col min="8710" max="8710" width="11.28515625" style="212" customWidth="1"/>
    <col min="8711" max="8711" width="20.85546875" style="212" customWidth="1"/>
    <col min="8712" max="8960" width="9.140625" style="212"/>
    <col min="8961" max="8961" width="5.85546875" style="212" customWidth="1"/>
    <col min="8962" max="8962" width="66.140625" style="212" customWidth="1"/>
    <col min="8963" max="8963" width="14.85546875" style="212" customWidth="1"/>
    <col min="8964" max="8964" width="14.7109375" style="212" customWidth="1"/>
    <col min="8965" max="8965" width="13.42578125" style="212" customWidth="1"/>
    <col min="8966" max="8966" width="11.28515625" style="212" customWidth="1"/>
    <col min="8967" max="8967" width="20.85546875" style="212" customWidth="1"/>
    <col min="8968" max="9216" width="9.140625" style="212"/>
    <col min="9217" max="9217" width="5.85546875" style="212" customWidth="1"/>
    <col min="9218" max="9218" width="66.140625" style="212" customWidth="1"/>
    <col min="9219" max="9219" width="14.85546875" style="212" customWidth="1"/>
    <col min="9220" max="9220" width="14.7109375" style="212" customWidth="1"/>
    <col min="9221" max="9221" width="13.42578125" style="212" customWidth="1"/>
    <col min="9222" max="9222" width="11.28515625" style="212" customWidth="1"/>
    <col min="9223" max="9223" width="20.85546875" style="212" customWidth="1"/>
    <col min="9224" max="9472" width="9.140625" style="212"/>
    <col min="9473" max="9473" width="5.85546875" style="212" customWidth="1"/>
    <col min="9474" max="9474" width="66.140625" style="212" customWidth="1"/>
    <col min="9475" max="9475" width="14.85546875" style="212" customWidth="1"/>
    <col min="9476" max="9476" width="14.7109375" style="212" customWidth="1"/>
    <col min="9477" max="9477" width="13.42578125" style="212" customWidth="1"/>
    <col min="9478" max="9478" width="11.28515625" style="212" customWidth="1"/>
    <col min="9479" max="9479" width="20.85546875" style="212" customWidth="1"/>
    <col min="9480" max="9728" width="9.140625" style="212"/>
    <col min="9729" max="9729" width="5.85546875" style="212" customWidth="1"/>
    <col min="9730" max="9730" width="66.140625" style="212" customWidth="1"/>
    <col min="9731" max="9731" width="14.85546875" style="212" customWidth="1"/>
    <col min="9732" max="9732" width="14.7109375" style="212" customWidth="1"/>
    <col min="9733" max="9733" width="13.42578125" style="212" customWidth="1"/>
    <col min="9734" max="9734" width="11.28515625" style="212" customWidth="1"/>
    <col min="9735" max="9735" width="20.85546875" style="212" customWidth="1"/>
    <col min="9736" max="9984" width="9.140625" style="212"/>
    <col min="9985" max="9985" width="5.85546875" style="212" customWidth="1"/>
    <col min="9986" max="9986" width="66.140625" style="212" customWidth="1"/>
    <col min="9987" max="9987" width="14.85546875" style="212" customWidth="1"/>
    <col min="9988" max="9988" width="14.7109375" style="212" customWidth="1"/>
    <col min="9989" max="9989" width="13.42578125" style="212" customWidth="1"/>
    <col min="9990" max="9990" width="11.28515625" style="212" customWidth="1"/>
    <col min="9991" max="9991" width="20.85546875" style="212" customWidth="1"/>
    <col min="9992" max="10240" width="9.140625" style="212"/>
    <col min="10241" max="10241" width="5.85546875" style="212" customWidth="1"/>
    <col min="10242" max="10242" width="66.140625" style="212" customWidth="1"/>
    <col min="10243" max="10243" width="14.85546875" style="212" customWidth="1"/>
    <col min="10244" max="10244" width="14.7109375" style="212" customWidth="1"/>
    <col min="10245" max="10245" width="13.42578125" style="212" customWidth="1"/>
    <col min="10246" max="10246" width="11.28515625" style="212" customWidth="1"/>
    <col min="10247" max="10247" width="20.85546875" style="212" customWidth="1"/>
    <col min="10248" max="10496" width="9.140625" style="212"/>
    <col min="10497" max="10497" width="5.85546875" style="212" customWidth="1"/>
    <col min="10498" max="10498" width="66.140625" style="212" customWidth="1"/>
    <col min="10499" max="10499" width="14.85546875" style="212" customWidth="1"/>
    <col min="10500" max="10500" width="14.7109375" style="212" customWidth="1"/>
    <col min="10501" max="10501" width="13.42578125" style="212" customWidth="1"/>
    <col min="10502" max="10502" width="11.28515625" style="212" customWidth="1"/>
    <col min="10503" max="10503" width="20.85546875" style="212" customWidth="1"/>
    <col min="10504" max="10752" width="9.140625" style="212"/>
    <col min="10753" max="10753" width="5.85546875" style="212" customWidth="1"/>
    <col min="10754" max="10754" width="66.140625" style="212" customWidth="1"/>
    <col min="10755" max="10755" width="14.85546875" style="212" customWidth="1"/>
    <col min="10756" max="10756" width="14.7109375" style="212" customWidth="1"/>
    <col min="10757" max="10757" width="13.42578125" style="212" customWidth="1"/>
    <col min="10758" max="10758" width="11.28515625" style="212" customWidth="1"/>
    <col min="10759" max="10759" width="20.85546875" style="212" customWidth="1"/>
    <col min="10760" max="11008" width="9.140625" style="212"/>
    <col min="11009" max="11009" width="5.85546875" style="212" customWidth="1"/>
    <col min="11010" max="11010" width="66.140625" style="212" customWidth="1"/>
    <col min="11011" max="11011" width="14.85546875" style="212" customWidth="1"/>
    <col min="11012" max="11012" width="14.7109375" style="212" customWidth="1"/>
    <col min="11013" max="11013" width="13.42578125" style="212" customWidth="1"/>
    <col min="11014" max="11014" width="11.28515625" style="212" customWidth="1"/>
    <col min="11015" max="11015" width="20.85546875" style="212" customWidth="1"/>
    <col min="11016" max="11264" width="9.140625" style="212"/>
    <col min="11265" max="11265" width="5.85546875" style="212" customWidth="1"/>
    <col min="11266" max="11266" width="66.140625" style="212" customWidth="1"/>
    <col min="11267" max="11267" width="14.85546875" style="212" customWidth="1"/>
    <col min="11268" max="11268" width="14.7109375" style="212" customWidth="1"/>
    <col min="11269" max="11269" width="13.42578125" style="212" customWidth="1"/>
    <col min="11270" max="11270" width="11.28515625" style="212" customWidth="1"/>
    <col min="11271" max="11271" width="20.85546875" style="212" customWidth="1"/>
    <col min="11272" max="11520" width="9.140625" style="212"/>
    <col min="11521" max="11521" width="5.85546875" style="212" customWidth="1"/>
    <col min="11522" max="11522" width="66.140625" style="212" customWidth="1"/>
    <col min="11523" max="11523" width="14.85546875" style="212" customWidth="1"/>
    <col min="11524" max="11524" width="14.7109375" style="212" customWidth="1"/>
    <col min="11525" max="11525" width="13.42578125" style="212" customWidth="1"/>
    <col min="11526" max="11526" width="11.28515625" style="212" customWidth="1"/>
    <col min="11527" max="11527" width="20.85546875" style="212" customWidth="1"/>
    <col min="11528" max="11776" width="9.140625" style="212"/>
    <col min="11777" max="11777" width="5.85546875" style="212" customWidth="1"/>
    <col min="11778" max="11778" width="66.140625" style="212" customWidth="1"/>
    <col min="11779" max="11779" width="14.85546875" style="212" customWidth="1"/>
    <col min="11780" max="11780" width="14.7109375" style="212" customWidth="1"/>
    <col min="11781" max="11781" width="13.42578125" style="212" customWidth="1"/>
    <col min="11782" max="11782" width="11.28515625" style="212" customWidth="1"/>
    <col min="11783" max="11783" width="20.85546875" style="212" customWidth="1"/>
    <col min="11784" max="12032" width="9.140625" style="212"/>
    <col min="12033" max="12033" width="5.85546875" style="212" customWidth="1"/>
    <col min="12034" max="12034" width="66.140625" style="212" customWidth="1"/>
    <col min="12035" max="12035" width="14.85546875" style="212" customWidth="1"/>
    <col min="12036" max="12036" width="14.7109375" style="212" customWidth="1"/>
    <col min="12037" max="12037" width="13.42578125" style="212" customWidth="1"/>
    <col min="12038" max="12038" width="11.28515625" style="212" customWidth="1"/>
    <col min="12039" max="12039" width="20.85546875" style="212" customWidth="1"/>
    <col min="12040" max="12288" width="9.140625" style="212"/>
    <col min="12289" max="12289" width="5.85546875" style="212" customWidth="1"/>
    <col min="12290" max="12290" width="66.140625" style="212" customWidth="1"/>
    <col min="12291" max="12291" width="14.85546875" style="212" customWidth="1"/>
    <col min="12292" max="12292" width="14.7109375" style="212" customWidth="1"/>
    <col min="12293" max="12293" width="13.42578125" style="212" customWidth="1"/>
    <col min="12294" max="12294" width="11.28515625" style="212" customWidth="1"/>
    <col min="12295" max="12295" width="20.85546875" style="212" customWidth="1"/>
    <col min="12296" max="12544" width="9.140625" style="212"/>
    <col min="12545" max="12545" width="5.85546875" style="212" customWidth="1"/>
    <col min="12546" max="12546" width="66.140625" style="212" customWidth="1"/>
    <col min="12547" max="12547" width="14.85546875" style="212" customWidth="1"/>
    <col min="12548" max="12548" width="14.7109375" style="212" customWidth="1"/>
    <col min="12549" max="12549" width="13.42578125" style="212" customWidth="1"/>
    <col min="12550" max="12550" width="11.28515625" style="212" customWidth="1"/>
    <col min="12551" max="12551" width="20.85546875" style="212" customWidth="1"/>
    <col min="12552" max="12800" width="9.140625" style="212"/>
    <col min="12801" max="12801" width="5.85546875" style="212" customWidth="1"/>
    <col min="12802" max="12802" width="66.140625" style="212" customWidth="1"/>
    <col min="12803" max="12803" width="14.85546875" style="212" customWidth="1"/>
    <col min="12804" max="12804" width="14.7109375" style="212" customWidth="1"/>
    <col min="12805" max="12805" width="13.42578125" style="212" customWidth="1"/>
    <col min="12806" max="12806" width="11.28515625" style="212" customWidth="1"/>
    <col min="12807" max="12807" width="20.85546875" style="212" customWidth="1"/>
    <col min="12808" max="13056" width="9.140625" style="212"/>
    <col min="13057" max="13057" width="5.85546875" style="212" customWidth="1"/>
    <col min="13058" max="13058" width="66.140625" style="212" customWidth="1"/>
    <col min="13059" max="13059" width="14.85546875" style="212" customWidth="1"/>
    <col min="13060" max="13060" width="14.7109375" style="212" customWidth="1"/>
    <col min="13061" max="13061" width="13.42578125" style="212" customWidth="1"/>
    <col min="13062" max="13062" width="11.28515625" style="212" customWidth="1"/>
    <col min="13063" max="13063" width="20.85546875" style="212" customWidth="1"/>
    <col min="13064" max="13312" width="9.140625" style="212"/>
    <col min="13313" max="13313" width="5.85546875" style="212" customWidth="1"/>
    <col min="13314" max="13314" width="66.140625" style="212" customWidth="1"/>
    <col min="13315" max="13315" width="14.85546875" style="212" customWidth="1"/>
    <col min="13316" max="13316" width="14.7109375" style="212" customWidth="1"/>
    <col min="13317" max="13317" width="13.42578125" style="212" customWidth="1"/>
    <col min="13318" max="13318" width="11.28515625" style="212" customWidth="1"/>
    <col min="13319" max="13319" width="20.85546875" style="212" customWidth="1"/>
    <col min="13320" max="13568" width="9.140625" style="212"/>
    <col min="13569" max="13569" width="5.85546875" style="212" customWidth="1"/>
    <col min="13570" max="13570" width="66.140625" style="212" customWidth="1"/>
    <col min="13571" max="13571" width="14.85546875" style="212" customWidth="1"/>
    <col min="13572" max="13572" width="14.7109375" style="212" customWidth="1"/>
    <col min="13573" max="13573" width="13.42578125" style="212" customWidth="1"/>
    <col min="13574" max="13574" width="11.28515625" style="212" customWidth="1"/>
    <col min="13575" max="13575" width="20.85546875" style="212" customWidth="1"/>
    <col min="13576" max="13824" width="9.140625" style="212"/>
    <col min="13825" max="13825" width="5.85546875" style="212" customWidth="1"/>
    <col min="13826" max="13826" width="66.140625" style="212" customWidth="1"/>
    <col min="13827" max="13827" width="14.85546875" style="212" customWidth="1"/>
    <col min="13828" max="13828" width="14.7109375" style="212" customWidth="1"/>
    <col min="13829" max="13829" width="13.42578125" style="212" customWidth="1"/>
    <col min="13830" max="13830" width="11.28515625" style="212" customWidth="1"/>
    <col min="13831" max="13831" width="20.85546875" style="212" customWidth="1"/>
    <col min="13832" max="14080" width="9.140625" style="212"/>
    <col min="14081" max="14081" width="5.85546875" style="212" customWidth="1"/>
    <col min="14082" max="14082" width="66.140625" style="212" customWidth="1"/>
    <col min="14083" max="14083" width="14.85546875" style="212" customWidth="1"/>
    <col min="14084" max="14084" width="14.7109375" style="212" customWidth="1"/>
    <col min="14085" max="14085" width="13.42578125" style="212" customWidth="1"/>
    <col min="14086" max="14086" width="11.28515625" style="212" customWidth="1"/>
    <col min="14087" max="14087" width="20.85546875" style="212" customWidth="1"/>
    <col min="14088" max="14336" width="9.140625" style="212"/>
    <col min="14337" max="14337" width="5.85546875" style="212" customWidth="1"/>
    <col min="14338" max="14338" width="66.140625" style="212" customWidth="1"/>
    <col min="14339" max="14339" width="14.85546875" style="212" customWidth="1"/>
    <col min="14340" max="14340" width="14.7109375" style="212" customWidth="1"/>
    <col min="14341" max="14341" width="13.42578125" style="212" customWidth="1"/>
    <col min="14342" max="14342" width="11.28515625" style="212" customWidth="1"/>
    <col min="14343" max="14343" width="20.85546875" style="212" customWidth="1"/>
    <col min="14344" max="14592" width="9.140625" style="212"/>
    <col min="14593" max="14593" width="5.85546875" style="212" customWidth="1"/>
    <col min="14594" max="14594" width="66.140625" style="212" customWidth="1"/>
    <col min="14595" max="14595" width="14.85546875" style="212" customWidth="1"/>
    <col min="14596" max="14596" width="14.7109375" style="212" customWidth="1"/>
    <col min="14597" max="14597" width="13.42578125" style="212" customWidth="1"/>
    <col min="14598" max="14598" width="11.28515625" style="212" customWidth="1"/>
    <col min="14599" max="14599" width="20.85546875" style="212" customWidth="1"/>
    <col min="14600" max="14848" width="9.140625" style="212"/>
    <col min="14849" max="14849" width="5.85546875" style="212" customWidth="1"/>
    <col min="14850" max="14850" width="66.140625" style="212" customWidth="1"/>
    <col min="14851" max="14851" width="14.85546875" style="212" customWidth="1"/>
    <col min="14852" max="14852" width="14.7109375" style="212" customWidth="1"/>
    <col min="14853" max="14853" width="13.42578125" style="212" customWidth="1"/>
    <col min="14854" max="14854" width="11.28515625" style="212" customWidth="1"/>
    <col min="14855" max="14855" width="20.85546875" style="212" customWidth="1"/>
    <col min="14856" max="15104" width="9.140625" style="212"/>
    <col min="15105" max="15105" width="5.85546875" style="212" customWidth="1"/>
    <col min="15106" max="15106" width="66.140625" style="212" customWidth="1"/>
    <col min="15107" max="15107" width="14.85546875" style="212" customWidth="1"/>
    <col min="15108" max="15108" width="14.7109375" style="212" customWidth="1"/>
    <col min="15109" max="15109" width="13.42578125" style="212" customWidth="1"/>
    <col min="15110" max="15110" width="11.28515625" style="212" customWidth="1"/>
    <col min="15111" max="15111" width="20.85546875" style="212" customWidth="1"/>
    <col min="15112" max="15360" width="9.140625" style="212"/>
    <col min="15361" max="15361" width="5.85546875" style="212" customWidth="1"/>
    <col min="15362" max="15362" width="66.140625" style="212" customWidth="1"/>
    <col min="15363" max="15363" width="14.85546875" style="212" customWidth="1"/>
    <col min="15364" max="15364" width="14.7109375" style="212" customWidth="1"/>
    <col min="15365" max="15365" width="13.42578125" style="212" customWidth="1"/>
    <col min="15366" max="15366" width="11.28515625" style="212" customWidth="1"/>
    <col min="15367" max="15367" width="20.85546875" style="212" customWidth="1"/>
    <col min="15368" max="15616" width="9.140625" style="212"/>
    <col min="15617" max="15617" width="5.85546875" style="212" customWidth="1"/>
    <col min="15618" max="15618" width="66.140625" style="212" customWidth="1"/>
    <col min="15619" max="15619" width="14.85546875" style="212" customWidth="1"/>
    <col min="15620" max="15620" width="14.7109375" style="212" customWidth="1"/>
    <col min="15621" max="15621" width="13.42578125" style="212" customWidth="1"/>
    <col min="15622" max="15622" width="11.28515625" style="212" customWidth="1"/>
    <col min="15623" max="15623" width="20.85546875" style="212" customWidth="1"/>
    <col min="15624" max="15872" width="9.140625" style="212"/>
    <col min="15873" max="15873" width="5.85546875" style="212" customWidth="1"/>
    <col min="15874" max="15874" width="66.140625" style="212" customWidth="1"/>
    <col min="15875" max="15875" width="14.85546875" style="212" customWidth="1"/>
    <col min="15876" max="15876" width="14.7109375" style="212" customWidth="1"/>
    <col min="15877" max="15877" width="13.42578125" style="212" customWidth="1"/>
    <col min="15878" max="15878" width="11.28515625" style="212" customWidth="1"/>
    <col min="15879" max="15879" width="20.85546875" style="212" customWidth="1"/>
    <col min="15880" max="16128" width="9.140625" style="212"/>
    <col min="16129" max="16129" width="5.85546875" style="212" customWidth="1"/>
    <col min="16130" max="16130" width="66.140625" style="212" customWidth="1"/>
    <col min="16131" max="16131" width="14.85546875" style="212" customWidth="1"/>
    <col min="16132" max="16132" width="14.7109375" style="212" customWidth="1"/>
    <col min="16133" max="16133" width="13.42578125" style="212" customWidth="1"/>
    <col min="16134" max="16134" width="11.28515625" style="212" customWidth="1"/>
    <col min="16135" max="16135" width="20.85546875" style="212" customWidth="1"/>
    <col min="16136" max="16384" width="9.140625" style="212"/>
  </cols>
  <sheetData>
    <row r="1" spans="1:8" ht="18.75">
      <c r="A1" s="209"/>
      <c r="B1" s="210"/>
      <c r="C1" s="211"/>
      <c r="D1" s="248"/>
      <c r="E1" s="1022" t="s">
        <v>764</v>
      </c>
      <c r="F1" s="1022"/>
    </row>
    <row r="2" spans="1:8" ht="21" customHeight="1">
      <c r="A2" s="1023" t="s">
        <v>765</v>
      </c>
      <c r="B2" s="1023"/>
      <c r="C2" s="1023"/>
      <c r="D2" s="1023"/>
      <c r="E2" s="1023"/>
      <c r="F2" s="1023"/>
    </row>
    <row r="3" spans="1:8" ht="21" customHeight="1">
      <c r="A3" s="1024" t="s">
        <v>1210</v>
      </c>
      <c r="B3" s="1024"/>
      <c r="C3" s="1024"/>
      <c r="D3" s="1024"/>
      <c r="E3" s="1024"/>
      <c r="F3" s="1024"/>
    </row>
    <row r="4" spans="1:8" ht="19.5" customHeight="1">
      <c r="A4" s="235"/>
      <c r="B4" s="235"/>
      <c r="C4" s="208"/>
      <c r="D4" s="1043" t="s">
        <v>2</v>
      </c>
      <c r="E4" s="1043"/>
      <c r="F4" s="1043"/>
    </row>
    <row r="5" spans="1:8" s="213" customFormat="1" ht="19.5" customHeight="1">
      <c r="A5" s="1044" t="s">
        <v>3</v>
      </c>
      <c r="B5" s="1044" t="s">
        <v>4</v>
      </c>
      <c r="C5" s="1042" t="s">
        <v>5</v>
      </c>
      <c r="D5" s="1042" t="s">
        <v>565</v>
      </c>
      <c r="E5" s="1044" t="s">
        <v>7</v>
      </c>
      <c r="F5" s="1044"/>
    </row>
    <row r="6" spans="1:8" s="213" customFormat="1" ht="19.5" customHeight="1">
      <c r="A6" s="1044"/>
      <c r="B6" s="1044"/>
      <c r="C6" s="1042"/>
      <c r="D6" s="1042"/>
      <c r="E6" s="1042" t="s">
        <v>8</v>
      </c>
      <c r="F6" s="1042" t="s">
        <v>9</v>
      </c>
    </row>
    <row r="7" spans="1:8" s="213" customFormat="1" ht="19.5" customHeight="1">
      <c r="A7" s="1044"/>
      <c r="B7" s="1044"/>
      <c r="C7" s="1042"/>
      <c r="D7" s="1042"/>
      <c r="E7" s="1042"/>
      <c r="F7" s="1042"/>
    </row>
    <row r="8" spans="1:8" s="288" customFormat="1" ht="17.25" customHeight="1">
      <c r="A8" s="234" t="s">
        <v>10</v>
      </c>
      <c r="B8" s="234" t="s">
        <v>11</v>
      </c>
      <c r="C8" s="234">
        <v>1</v>
      </c>
      <c r="D8" s="234">
        <v>2</v>
      </c>
      <c r="E8" s="234" t="s">
        <v>12</v>
      </c>
      <c r="F8" s="234" t="s">
        <v>13</v>
      </c>
      <c r="G8" s="214"/>
    </row>
    <row r="9" spans="1:8" s="208" customFormat="1" ht="26.25" customHeight="1">
      <c r="A9" s="236"/>
      <c r="B9" s="242" t="s">
        <v>41</v>
      </c>
      <c r="C9" s="237">
        <f>C10+C37</f>
        <v>10702623.72783</v>
      </c>
      <c r="D9" s="237">
        <f>D10+D37</f>
        <v>11790203</v>
      </c>
      <c r="E9" s="237">
        <f>D9-C9</f>
        <v>1087579.2721699998</v>
      </c>
      <c r="F9" s="289">
        <f>D9/C9</f>
        <v>1.1016180050637463</v>
      </c>
      <c r="G9" s="215">
        <f>C9-10702624</f>
        <v>-0.27216999977827072</v>
      </c>
    </row>
    <row r="10" spans="1:8" s="208" customFormat="1" ht="26.25" customHeight="1">
      <c r="A10" s="225" t="s">
        <v>10</v>
      </c>
      <c r="B10" s="224" t="s">
        <v>356</v>
      </c>
      <c r="C10" s="223">
        <f>C11+C21+C30+C36+C25+C26+C27</f>
        <v>8361291</v>
      </c>
      <c r="D10" s="223">
        <f>D11+D21+D30+D36+D25+D26+D27</f>
        <v>9835024</v>
      </c>
      <c r="E10" s="223">
        <f t="shared" ref="E10:E90" si="0">D10-C10</f>
        <v>1473733</v>
      </c>
      <c r="F10" s="226">
        <f t="shared" ref="F10:F88" si="1">D10/C10</f>
        <v>1.1762566330964919</v>
      </c>
      <c r="G10" s="216">
        <f>D10-11790203</f>
        <v>-1955179</v>
      </c>
      <c r="H10" s="215"/>
    </row>
    <row r="11" spans="1:8" s="219" customFormat="1" ht="26.25" customHeight="1">
      <c r="A11" s="225" t="s">
        <v>15</v>
      </c>
      <c r="B11" s="224" t="s">
        <v>357</v>
      </c>
      <c r="C11" s="223">
        <f>C12+C19</f>
        <v>1027220</v>
      </c>
      <c r="D11" s="223">
        <f>D12+D19</f>
        <v>1024690</v>
      </c>
      <c r="E11" s="223">
        <f t="shared" si="0"/>
        <v>-2530</v>
      </c>
      <c r="F11" s="226">
        <f t="shared" si="1"/>
        <v>0.99753704172426549</v>
      </c>
      <c r="G11" s="216"/>
      <c r="H11" s="215"/>
    </row>
    <row r="12" spans="1:8" s="219" customFormat="1" ht="26.25" customHeight="1">
      <c r="A12" s="228">
        <v>1</v>
      </c>
      <c r="B12" s="229" t="s">
        <v>47</v>
      </c>
      <c r="C12" s="222">
        <f>'PL14'!C13</f>
        <v>1027220</v>
      </c>
      <c r="D12" s="222">
        <f>'PL15'!E22</f>
        <v>1024690</v>
      </c>
      <c r="E12" s="222">
        <f t="shared" si="0"/>
        <v>-2530</v>
      </c>
      <c r="F12" s="221">
        <f t="shared" si="1"/>
        <v>0.99753704172426549</v>
      </c>
      <c r="G12" s="215"/>
      <c r="H12" s="215"/>
    </row>
    <row r="13" spans="1:8" s="219" customFormat="1" ht="26.25" customHeight="1">
      <c r="A13" s="233"/>
      <c r="B13" s="290" t="s">
        <v>358</v>
      </c>
      <c r="C13" s="231"/>
      <c r="D13" s="231"/>
      <c r="E13" s="231">
        <f t="shared" si="0"/>
        <v>0</v>
      </c>
      <c r="F13" s="230"/>
      <c r="G13" s="291"/>
      <c r="H13" s="215"/>
    </row>
    <row r="14" spans="1:8" s="219" customFormat="1" ht="26.25" customHeight="1">
      <c r="A14" s="240" t="s">
        <v>19</v>
      </c>
      <c r="B14" s="290" t="s">
        <v>263</v>
      </c>
      <c r="C14" s="1001">
        <v>58299</v>
      </c>
      <c r="D14" s="1001">
        <f>'PL33'!E18</f>
        <v>85900</v>
      </c>
      <c r="E14" s="231">
        <f t="shared" si="0"/>
        <v>27601</v>
      </c>
      <c r="F14" s="230"/>
      <c r="G14" s="291"/>
      <c r="H14" s="215"/>
    </row>
    <row r="15" spans="1:8" s="219" customFormat="1" ht="26.25" customHeight="1">
      <c r="A15" s="240" t="s">
        <v>19</v>
      </c>
      <c r="B15" s="290" t="s">
        <v>264</v>
      </c>
      <c r="C15" s="231">
        <v>0</v>
      </c>
      <c r="D15" s="1001">
        <f>'PL33'!E19</f>
        <v>25900</v>
      </c>
      <c r="E15" s="231">
        <f t="shared" si="0"/>
        <v>25900</v>
      </c>
      <c r="F15" s="230"/>
      <c r="G15" s="291"/>
      <c r="H15" s="215"/>
    </row>
    <row r="16" spans="1:8" s="208" customFormat="1" ht="26.25" customHeight="1">
      <c r="A16" s="228"/>
      <c r="B16" s="290" t="s">
        <v>359</v>
      </c>
      <c r="C16" s="231"/>
      <c r="D16" s="231"/>
      <c r="E16" s="231">
        <f t="shared" si="0"/>
        <v>0</v>
      </c>
      <c r="F16" s="230"/>
      <c r="G16" s="291"/>
      <c r="H16" s="215"/>
    </row>
    <row r="17" spans="1:8" s="219" customFormat="1" ht="26.25" customHeight="1">
      <c r="A17" s="239" t="s">
        <v>19</v>
      </c>
      <c r="B17" s="290" t="s">
        <v>360</v>
      </c>
      <c r="C17" s="231">
        <f>'PL14'!C18</f>
        <v>400000</v>
      </c>
      <c r="D17" s="231">
        <v>390000</v>
      </c>
      <c r="E17" s="231">
        <f t="shared" si="0"/>
        <v>-10000</v>
      </c>
      <c r="F17" s="230">
        <f t="shared" si="1"/>
        <v>0.97499999999999998</v>
      </c>
      <c r="G17" s="291"/>
      <c r="H17" s="215"/>
    </row>
    <row r="18" spans="1:8" s="219" customFormat="1" ht="26.25" customHeight="1">
      <c r="A18" s="239" t="s">
        <v>19</v>
      </c>
      <c r="B18" s="290" t="s">
        <v>363</v>
      </c>
      <c r="C18" s="231">
        <f>'PL14'!C19</f>
        <v>80000</v>
      </c>
      <c r="D18" s="231">
        <v>82000</v>
      </c>
      <c r="E18" s="231">
        <f t="shared" si="0"/>
        <v>2000</v>
      </c>
      <c r="F18" s="230">
        <f t="shared" si="1"/>
        <v>1.0249999999999999</v>
      </c>
      <c r="G18" s="291"/>
      <c r="H18" s="215"/>
    </row>
    <row r="19" spans="1:8" s="208" customFormat="1" ht="78.75" customHeight="1">
      <c r="A19" s="228">
        <v>2</v>
      </c>
      <c r="B19" s="292" t="s">
        <v>61</v>
      </c>
      <c r="C19" s="222"/>
      <c r="D19" s="231"/>
      <c r="E19" s="222">
        <f t="shared" si="0"/>
        <v>0</v>
      </c>
      <c r="F19" s="221"/>
      <c r="G19" s="291"/>
      <c r="H19" s="215"/>
    </row>
    <row r="20" spans="1:8" s="219" customFormat="1" ht="26.25" customHeight="1">
      <c r="A20" s="228">
        <v>3</v>
      </c>
      <c r="B20" s="229" t="s">
        <v>62</v>
      </c>
      <c r="C20" s="231"/>
      <c r="D20" s="231"/>
      <c r="E20" s="231">
        <f t="shared" si="0"/>
        <v>0</v>
      </c>
      <c r="F20" s="230"/>
      <c r="G20" s="291"/>
      <c r="H20" s="215"/>
    </row>
    <row r="21" spans="1:8" s="208" customFormat="1" ht="26.25" customHeight="1">
      <c r="A21" s="225" t="s">
        <v>25</v>
      </c>
      <c r="B21" s="224" t="s">
        <v>63</v>
      </c>
      <c r="C21" s="223">
        <f>'PL14'!C22</f>
        <v>5777927</v>
      </c>
      <c r="D21" s="223">
        <f>'PL15'!E23</f>
        <v>6981357</v>
      </c>
      <c r="E21" s="223">
        <f t="shared" si="0"/>
        <v>1203430</v>
      </c>
      <c r="F21" s="226">
        <f t="shared" si="1"/>
        <v>1.2082805822918843</v>
      </c>
      <c r="G21" s="216"/>
      <c r="H21" s="215"/>
    </row>
    <row r="22" spans="1:8" s="208" customFormat="1" ht="26.25" customHeight="1">
      <c r="A22" s="225"/>
      <c r="B22" s="290" t="s">
        <v>365</v>
      </c>
      <c r="C22" s="231"/>
      <c r="D22" s="231"/>
      <c r="E22" s="231">
        <f t="shared" si="0"/>
        <v>0</v>
      </c>
      <c r="F22" s="230"/>
      <c r="G22" s="291"/>
      <c r="H22" s="215"/>
    </row>
    <row r="23" spans="1:8" s="208" customFormat="1" ht="26.25" customHeight="1">
      <c r="A23" s="228">
        <v>1</v>
      </c>
      <c r="B23" s="290" t="s">
        <v>366</v>
      </c>
      <c r="C23" s="231">
        <f>'PL14'!C24</f>
        <v>2653298</v>
      </c>
      <c r="D23" s="231">
        <v>3353148</v>
      </c>
      <c r="E23" s="231">
        <f t="shared" si="0"/>
        <v>699850</v>
      </c>
      <c r="F23" s="230">
        <f t="shared" si="1"/>
        <v>1.2637660752768818</v>
      </c>
      <c r="G23" s="291"/>
      <c r="H23" s="215"/>
    </row>
    <row r="24" spans="1:8" s="208" customFormat="1" ht="26.25" customHeight="1">
      <c r="A24" s="228">
        <f>A23+1</f>
        <v>2</v>
      </c>
      <c r="B24" s="290" t="s">
        <v>367</v>
      </c>
      <c r="C24" s="231">
        <f>'PL14'!C25</f>
        <v>17641</v>
      </c>
      <c r="D24" s="231">
        <v>18178</v>
      </c>
      <c r="E24" s="231">
        <f t="shared" si="0"/>
        <v>537</v>
      </c>
      <c r="F24" s="230">
        <f t="shared" si="1"/>
        <v>1.0304404512215861</v>
      </c>
      <c r="G24" s="291"/>
      <c r="H24" s="215"/>
    </row>
    <row r="25" spans="1:8" s="208" customFormat="1" ht="44.25" customHeight="1">
      <c r="A25" s="225" t="s">
        <v>32</v>
      </c>
      <c r="B25" s="238" t="s">
        <v>368</v>
      </c>
      <c r="C25" s="223">
        <f>'PL14'!C26</f>
        <v>2100</v>
      </c>
      <c r="D25" s="223">
        <f>'PL15'!E24</f>
        <v>2300</v>
      </c>
      <c r="E25" s="223">
        <f t="shared" si="0"/>
        <v>200</v>
      </c>
      <c r="F25" s="226">
        <f t="shared" si="1"/>
        <v>1.0952380952380953</v>
      </c>
      <c r="G25" s="216"/>
      <c r="H25" s="215"/>
    </row>
    <row r="26" spans="1:8" s="208" customFormat="1" ht="26.25" customHeight="1">
      <c r="A26" s="225" t="s">
        <v>67</v>
      </c>
      <c r="B26" s="224" t="s">
        <v>369</v>
      </c>
      <c r="C26" s="223">
        <f>'PL14'!C27</f>
        <v>1000</v>
      </c>
      <c r="D26" s="223">
        <f>'PL15'!E25</f>
        <v>1000</v>
      </c>
      <c r="E26" s="223">
        <f t="shared" si="0"/>
        <v>0</v>
      </c>
      <c r="F26" s="226">
        <f t="shared" si="1"/>
        <v>1</v>
      </c>
      <c r="G26" s="216"/>
      <c r="H26" s="215"/>
    </row>
    <row r="27" spans="1:8" s="208" customFormat="1" ht="26.25" customHeight="1">
      <c r="A27" s="225" t="s">
        <v>69</v>
      </c>
      <c r="B27" s="224" t="s">
        <v>370</v>
      </c>
      <c r="C27" s="223">
        <f>'PL14'!C28</f>
        <v>165856</v>
      </c>
      <c r="D27" s="223">
        <f>'PL15'!E26</f>
        <v>196552.41999999998</v>
      </c>
      <c r="E27" s="223">
        <f t="shared" si="0"/>
        <v>30696.419999999984</v>
      </c>
      <c r="F27" s="226">
        <f t="shared" si="1"/>
        <v>1.185078743005981</v>
      </c>
      <c r="G27" s="216"/>
      <c r="H27" s="215"/>
    </row>
    <row r="28" spans="1:8" s="208" customFormat="1" ht="37.5">
      <c r="A28" s="225"/>
      <c r="B28" s="232" t="s">
        <v>766</v>
      </c>
      <c r="C28" s="231">
        <f>'PL15'!C27</f>
        <v>26940</v>
      </c>
      <c r="D28" s="231">
        <f>'PL15'!E27</f>
        <v>34280.42</v>
      </c>
      <c r="E28" s="231">
        <f t="shared" si="0"/>
        <v>7340.4199999999983</v>
      </c>
      <c r="F28" s="226"/>
      <c r="G28" s="291"/>
      <c r="H28" s="215"/>
    </row>
    <row r="29" spans="1:8" s="208" customFormat="1" ht="26.25" customHeight="1">
      <c r="A29" s="225" t="s">
        <v>71</v>
      </c>
      <c r="B29" s="224" t="s">
        <v>535</v>
      </c>
      <c r="C29" s="231"/>
      <c r="D29" s="231"/>
      <c r="E29" s="231">
        <f t="shared" si="0"/>
        <v>0</v>
      </c>
      <c r="F29" s="230"/>
      <c r="G29" s="291"/>
      <c r="H29" s="215"/>
    </row>
    <row r="30" spans="1:8" s="208" customFormat="1" ht="150">
      <c r="A30" s="225" t="s">
        <v>306</v>
      </c>
      <c r="B30" s="238" t="s">
        <v>1208</v>
      </c>
      <c r="C30" s="223">
        <f>'PL15'!C29</f>
        <v>1318688</v>
      </c>
      <c r="D30" s="223">
        <f>'PL15'!E29</f>
        <v>1621724.58</v>
      </c>
      <c r="E30" s="223">
        <f t="shared" si="0"/>
        <v>303036.58000000007</v>
      </c>
      <c r="F30" s="226">
        <f t="shared" si="1"/>
        <v>1.2298015755053509</v>
      </c>
      <c r="G30" s="216"/>
      <c r="H30" s="215"/>
    </row>
    <row r="31" spans="1:8" s="219" customFormat="1" ht="65.25" customHeight="1">
      <c r="A31" s="233"/>
      <c r="B31" s="232" t="s">
        <v>371</v>
      </c>
      <c r="C31" s="231">
        <f>'PL15'!C30</f>
        <v>131571</v>
      </c>
      <c r="D31" s="231">
        <f>'PL15'!E30</f>
        <v>139747.29999999999</v>
      </c>
      <c r="E31" s="231"/>
      <c r="F31" s="230"/>
      <c r="G31" s="291"/>
    </row>
    <row r="32" spans="1:8" s="219" customFormat="1" ht="120" customHeight="1">
      <c r="A32" s="233"/>
      <c r="B32" s="232" t="s">
        <v>767</v>
      </c>
      <c r="C32" s="231">
        <f>'PL15'!C31</f>
        <v>130593</v>
      </c>
      <c r="D32" s="231">
        <f>'PL15'!E31</f>
        <v>155213.20000000001</v>
      </c>
      <c r="E32" s="231"/>
      <c r="F32" s="230"/>
    </row>
    <row r="33" spans="1:7" s="219" customFormat="1" ht="42.75" customHeight="1">
      <c r="A33" s="233"/>
      <c r="B33" s="232" t="s">
        <v>560</v>
      </c>
      <c r="C33" s="231">
        <f>'PL15'!C32</f>
        <v>22553</v>
      </c>
      <c r="D33" s="231">
        <f>'PL15'!E32</f>
        <v>22122.06</v>
      </c>
      <c r="E33" s="231"/>
      <c r="F33" s="230"/>
    </row>
    <row r="34" spans="1:7" s="219" customFormat="1" ht="42.75" customHeight="1">
      <c r="A34" s="233"/>
      <c r="B34" s="232" t="s">
        <v>1117</v>
      </c>
      <c r="C34" s="231"/>
      <c r="D34" s="231">
        <f>'PL15'!E33</f>
        <v>10000</v>
      </c>
      <c r="E34" s="231"/>
      <c r="F34" s="230"/>
    </row>
    <row r="35" spans="1:7" s="219" customFormat="1" ht="42.75" customHeight="1">
      <c r="A35" s="233"/>
      <c r="B35" s="232" t="s">
        <v>374</v>
      </c>
      <c r="C35" s="231">
        <f>'PL15'!C34</f>
        <v>1033971</v>
      </c>
      <c r="D35" s="231">
        <f>'PL15'!E34</f>
        <v>1294642.02</v>
      </c>
      <c r="E35" s="231"/>
      <c r="F35" s="230"/>
    </row>
    <row r="36" spans="1:7" s="208" customFormat="1" ht="26.25" customHeight="1">
      <c r="A36" s="225" t="s">
        <v>768</v>
      </c>
      <c r="B36" s="224" t="s">
        <v>537</v>
      </c>
      <c r="C36" s="223">
        <f>'PL14'!C32</f>
        <v>68500</v>
      </c>
      <c r="D36" s="223">
        <f>'PL15'!E36</f>
        <v>7400</v>
      </c>
      <c r="E36" s="223">
        <f t="shared" si="0"/>
        <v>-61100</v>
      </c>
      <c r="F36" s="226">
        <f t="shared" si="1"/>
        <v>0.10802919708029197</v>
      </c>
      <c r="G36" s="215"/>
    </row>
    <row r="37" spans="1:7" s="208" customFormat="1" ht="26.25" customHeight="1">
      <c r="A37" s="225" t="s">
        <v>11</v>
      </c>
      <c r="B37" s="293" t="s">
        <v>377</v>
      </c>
      <c r="C37" s="223">
        <f>C38+C48</f>
        <v>2341332.7278300002</v>
      </c>
      <c r="D37" s="223">
        <f>D38+D48</f>
        <v>1955179</v>
      </c>
      <c r="E37" s="223">
        <f t="shared" si="0"/>
        <v>-386153.72783000022</v>
      </c>
      <c r="F37" s="294">
        <f t="shared" si="1"/>
        <v>0.83507097336485947</v>
      </c>
    </row>
    <row r="38" spans="1:7" s="208" customFormat="1" ht="26.25" customHeight="1">
      <c r="A38" s="225" t="s">
        <v>15</v>
      </c>
      <c r="B38" s="224" t="s">
        <v>77</v>
      </c>
      <c r="C38" s="223">
        <f>C39+C42+C45</f>
        <v>1353958</v>
      </c>
      <c r="D38" s="223">
        <f>D39+D42+D45</f>
        <v>657402</v>
      </c>
      <c r="E38" s="223">
        <f t="shared" si="0"/>
        <v>-696556</v>
      </c>
      <c r="F38" s="295"/>
      <c r="G38" s="343">
        <v>657402</v>
      </c>
    </row>
    <row r="39" spans="1:7" s="208" customFormat="1" ht="26.25" customHeight="1">
      <c r="A39" s="228">
        <v>1</v>
      </c>
      <c r="B39" s="227" t="s">
        <v>378</v>
      </c>
      <c r="C39" s="222">
        <f>'PL14'!C35</f>
        <v>160530</v>
      </c>
      <c r="D39" s="222">
        <f>D40+D41</f>
        <v>114887</v>
      </c>
      <c r="E39" s="222">
        <f t="shared" si="0"/>
        <v>-45643</v>
      </c>
      <c r="F39" s="296"/>
    </row>
    <row r="40" spans="1:7" s="219" customFormat="1" ht="26.25" customHeight="1">
      <c r="A40" s="233"/>
      <c r="B40" s="232" t="s">
        <v>769</v>
      </c>
      <c r="C40" s="231">
        <v>128435</v>
      </c>
      <c r="D40" s="231">
        <v>86308</v>
      </c>
      <c r="E40" s="231">
        <f t="shared" si="0"/>
        <v>-42127</v>
      </c>
      <c r="F40" s="295"/>
    </row>
    <row r="41" spans="1:7" s="219" customFormat="1" ht="26.25" customHeight="1">
      <c r="A41" s="233"/>
      <c r="B41" s="232" t="s">
        <v>770</v>
      </c>
      <c r="C41" s="231">
        <v>32095</v>
      </c>
      <c r="D41" s="231">
        <v>28579</v>
      </c>
      <c r="E41" s="231">
        <f t="shared" si="0"/>
        <v>-3516</v>
      </c>
      <c r="F41" s="295"/>
    </row>
    <row r="42" spans="1:7" s="208" customFormat="1" ht="26.25" customHeight="1">
      <c r="A42" s="228">
        <v>2</v>
      </c>
      <c r="B42" s="227" t="s">
        <v>379</v>
      </c>
      <c r="C42" s="222">
        <f>'PL14'!C36</f>
        <v>325739</v>
      </c>
      <c r="D42" s="222">
        <f>D43+D44</f>
        <v>111760</v>
      </c>
      <c r="E42" s="222">
        <f t="shared" si="0"/>
        <v>-213979</v>
      </c>
      <c r="F42" s="296"/>
    </row>
    <row r="43" spans="1:7" s="219" customFormat="1" ht="26.25" customHeight="1">
      <c r="A43" s="233"/>
      <c r="B43" s="232" t="s">
        <v>769</v>
      </c>
      <c r="C43" s="231">
        <v>171101</v>
      </c>
      <c r="D43" s="231">
        <v>111760</v>
      </c>
      <c r="E43" s="231">
        <f t="shared" si="0"/>
        <v>-59341</v>
      </c>
      <c r="F43" s="295"/>
    </row>
    <row r="44" spans="1:7" s="219" customFormat="1" ht="26.25" customHeight="1">
      <c r="A44" s="233"/>
      <c r="B44" s="232" t="s">
        <v>770</v>
      </c>
      <c r="C44" s="231">
        <v>154638</v>
      </c>
      <c r="D44" s="231"/>
      <c r="E44" s="231">
        <f t="shared" si="0"/>
        <v>-154638</v>
      </c>
      <c r="F44" s="295"/>
    </row>
    <row r="45" spans="1:7" s="208" customFormat="1" ht="38.25" customHeight="1">
      <c r="A45" s="228">
        <v>3</v>
      </c>
      <c r="B45" s="227" t="s">
        <v>380</v>
      </c>
      <c r="C45" s="222">
        <f>'PL14'!C37</f>
        <v>867689</v>
      </c>
      <c r="D45" s="222">
        <f>D46+D47</f>
        <v>430755</v>
      </c>
      <c r="E45" s="222">
        <f t="shared" si="0"/>
        <v>-436934</v>
      </c>
      <c r="F45" s="296"/>
    </row>
    <row r="46" spans="1:7" s="219" customFormat="1" ht="26.25" customHeight="1">
      <c r="A46" s="233"/>
      <c r="B46" s="232" t="s">
        <v>769</v>
      </c>
      <c r="C46" s="231">
        <v>498724</v>
      </c>
      <c r="D46" s="231">
        <v>430755</v>
      </c>
      <c r="E46" s="231">
        <f t="shared" si="0"/>
        <v>-67969</v>
      </c>
      <c r="F46" s="295"/>
    </row>
    <row r="47" spans="1:7" s="219" customFormat="1" ht="26.25" customHeight="1">
      <c r="A47" s="233"/>
      <c r="B47" s="232" t="s">
        <v>770</v>
      </c>
      <c r="C47" s="231">
        <v>368965</v>
      </c>
      <c r="D47" s="231"/>
      <c r="E47" s="231">
        <f t="shared" si="0"/>
        <v>-368965</v>
      </c>
      <c r="F47" s="295"/>
    </row>
    <row r="48" spans="1:7" s="208" customFormat="1" ht="26.25" customHeight="1">
      <c r="A48" s="225" t="s">
        <v>25</v>
      </c>
      <c r="B48" s="224" t="s">
        <v>381</v>
      </c>
      <c r="C48" s="223">
        <f>C49+C50</f>
        <v>987374.72782999999</v>
      </c>
      <c r="D48" s="223">
        <f>D49+D50</f>
        <v>1297777</v>
      </c>
      <c r="E48" s="223">
        <f t="shared" si="0"/>
        <v>310402.27217000001</v>
      </c>
      <c r="F48" s="294">
        <f t="shared" si="1"/>
        <v>1.3143712953360531</v>
      </c>
    </row>
    <row r="49" spans="1:7" s="217" customFormat="1" ht="36.75" customHeight="1">
      <c r="A49" s="225" t="s">
        <v>382</v>
      </c>
      <c r="B49" s="238" t="s">
        <v>558</v>
      </c>
      <c r="C49" s="223">
        <f>'PL14'!C39</f>
        <v>823220</v>
      </c>
      <c r="D49" s="223">
        <f>'PL15'!E40</f>
        <v>824064</v>
      </c>
      <c r="E49" s="223">
        <f t="shared" si="0"/>
        <v>844</v>
      </c>
      <c r="F49" s="294">
        <f t="shared" si="1"/>
        <v>1.0010252423410511</v>
      </c>
    </row>
    <row r="50" spans="1:7" s="217" customFormat="1" ht="58.5" customHeight="1">
      <c r="A50" s="225" t="s">
        <v>385</v>
      </c>
      <c r="B50" s="238" t="s">
        <v>557</v>
      </c>
      <c r="C50" s="223">
        <f>C51+C52</f>
        <v>164154.72782999999</v>
      </c>
      <c r="D50" s="223">
        <f>D51+D52</f>
        <v>473713</v>
      </c>
      <c r="E50" s="223">
        <f t="shared" si="0"/>
        <v>309558.27217000001</v>
      </c>
      <c r="F50" s="294">
        <f t="shared" si="1"/>
        <v>2.8857712857992195</v>
      </c>
      <c r="G50" s="216"/>
    </row>
    <row r="51" spans="1:7" s="217" customFormat="1" ht="28.5" customHeight="1">
      <c r="A51" s="249">
        <v>1</v>
      </c>
      <c r="B51" s="238" t="s">
        <v>386</v>
      </c>
      <c r="C51" s="223">
        <v>0</v>
      </c>
      <c r="D51" s="223"/>
      <c r="E51" s="223">
        <f t="shared" si="0"/>
        <v>0</v>
      </c>
      <c r="F51" s="294"/>
    </row>
    <row r="52" spans="1:7" s="217" customFormat="1" ht="28.5" customHeight="1">
      <c r="A52" s="249">
        <v>2</v>
      </c>
      <c r="B52" s="238" t="s">
        <v>384</v>
      </c>
      <c r="C52" s="223">
        <f>C53+C74+C80+C81+C85+C100+C105+C131+C132+C133+C135</f>
        <v>164154.72782999999</v>
      </c>
      <c r="D52" s="223">
        <f>D53+D74+D80+D81+D85+D100+D105+D131+D132+D133+D135</f>
        <v>473713</v>
      </c>
      <c r="E52" s="223">
        <f>E53+E74+E80+E81+E85+E100+E105+E131+E132+E133+E135</f>
        <v>309558.27217000001</v>
      </c>
      <c r="F52" s="294">
        <f t="shared" si="1"/>
        <v>2.8857712857992195</v>
      </c>
      <c r="G52" s="216">
        <f>D52-475204</f>
        <v>-1491</v>
      </c>
    </row>
    <row r="53" spans="1:7" s="208" customFormat="1" ht="37.5">
      <c r="A53" s="250">
        <v>1</v>
      </c>
      <c r="B53" s="292" t="s">
        <v>387</v>
      </c>
      <c r="C53" s="222">
        <f>C54+C73</f>
        <v>3187</v>
      </c>
      <c r="D53" s="222">
        <f>D54+D73</f>
        <v>4877</v>
      </c>
      <c r="E53" s="222">
        <f t="shared" si="0"/>
        <v>1690</v>
      </c>
      <c r="F53" s="296">
        <f t="shared" si="1"/>
        <v>1.530279259491685</v>
      </c>
    </row>
    <row r="54" spans="1:7" s="208" customFormat="1" ht="18.75">
      <c r="A54" s="250" t="s">
        <v>388</v>
      </c>
      <c r="B54" s="227" t="s">
        <v>389</v>
      </c>
      <c r="C54" s="222">
        <f>SUM(C55:C72)</f>
        <v>2103</v>
      </c>
      <c r="D54" s="222">
        <f>SUM(D55:D72)</f>
        <v>3219</v>
      </c>
      <c r="E54" s="222">
        <f>SUM(E55:E72)</f>
        <v>1116</v>
      </c>
      <c r="F54" s="296">
        <f t="shared" si="1"/>
        <v>1.5306704707560628</v>
      </c>
    </row>
    <row r="55" spans="1:7" s="208" customFormat="1" ht="18.75">
      <c r="A55" s="250" t="s">
        <v>19</v>
      </c>
      <c r="B55" s="227" t="s">
        <v>390</v>
      </c>
      <c r="C55" s="222">
        <f>'PL14'!C45</f>
        <v>1051</v>
      </c>
      <c r="D55" s="222">
        <v>1609</v>
      </c>
      <c r="E55" s="222">
        <f t="shared" si="0"/>
        <v>558</v>
      </c>
      <c r="F55" s="296">
        <f t="shared" si="1"/>
        <v>1.5309229305423406</v>
      </c>
    </row>
    <row r="56" spans="1:7" s="208" customFormat="1" ht="18.75">
      <c r="A56" s="250" t="s">
        <v>19</v>
      </c>
      <c r="B56" s="227" t="s">
        <v>391</v>
      </c>
      <c r="C56" s="222">
        <f>'PL14'!C46</f>
        <v>526</v>
      </c>
      <c r="D56" s="222">
        <v>800</v>
      </c>
      <c r="E56" s="222">
        <f t="shared" si="0"/>
        <v>274</v>
      </c>
      <c r="F56" s="296">
        <f t="shared" si="1"/>
        <v>1.520912547528517</v>
      </c>
    </row>
    <row r="57" spans="1:7" s="208" customFormat="1" ht="18.75">
      <c r="A57" s="250" t="s">
        <v>19</v>
      </c>
      <c r="B57" s="227" t="s">
        <v>429</v>
      </c>
      <c r="C57" s="222">
        <f>'PL14'!C47</f>
        <v>40</v>
      </c>
      <c r="D57" s="222">
        <v>50</v>
      </c>
      <c r="E57" s="222">
        <f t="shared" si="0"/>
        <v>10</v>
      </c>
      <c r="F57" s="296">
        <f t="shared" si="1"/>
        <v>1.25</v>
      </c>
    </row>
    <row r="58" spans="1:7" s="208" customFormat="1" ht="18.75">
      <c r="A58" s="250" t="s">
        <v>19</v>
      </c>
      <c r="B58" s="227" t="s">
        <v>707</v>
      </c>
      <c r="C58" s="222">
        <f>'PL14'!C48</f>
        <v>40</v>
      </c>
      <c r="D58" s="222">
        <v>50</v>
      </c>
      <c r="E58" s="222">
        <f t="shared" si="0"/>
        <v>10</v>
      </c>
      <c r="F58" s="296">
        <f t="shared" si="1"/>
        <v>1.25</v>
      </c>
    </row>
    <row r="59" spans="1:7" s="208" customFormat="1" ht="18.75">
      <c r="A59" s="250" t="s">
        <v>19</v>
      </c>
      <c r="B59" s="227" t="s">
        <v>393</v>
      </c>
      <c r="C59" s="222">
        <f>'PL14'!C49</f>
        <v>40</v>
      </c>
      <c r="D59" s="222">
        <v>50</v>
      </c>
      <c r="E59" s="222">
        <f t="shared" si="0"/>
        <v>10</v>
      </c>
      <c r="F59" s="296">
        <f t="shared" si="1"/>
        <v>1.25</v>
      </c>
    </row>
    <row r="60" spans="1:7" s="208" customFormat="1" ht="18.75">
      <c r="A60" s="250" t="s">
        <v>19</v>
      </c>
      <c r="B60" s="227" t="s">
        <v>394</v>
      </c>
      <c r="C60" s="222">
        <f>'PL14'!C50</f>
        <v>45</v>
      </c>
      <c r="D60" s="222">
        <v>50</v>
      </c>
      <c r="E60" s="222">
        <f t="shared" si="0"/>
        <v>5</v>
      </c>
      <c r="F60" s="296">
        <f t="shared" si="1"/>
        <v>1.1111111111111112</v>
      </c>
    </row>
    <row r="61" spans="1:7" s="208" customFormat="1" ht="18.75">
      <c r="A61" s="250" t="s">
        <v>19</v>
      </c>
      <c r="B61" s="227" t="s">
        <v>395</v>
      </c>
      <c r="C61" s="222">
        <f>'PL14'!C51</f>
        <v>100</v>
      </c>
      <c r="D61" s="222">
        <v>120</v>
      </c>
      <c r="E61" s="222">
        <f t="shared" si="0"/>
        <v>20</v>
      </c>
      <c r="F61" s="296">
        <f t="shared" si="1"/>
        <v>1.2</v>
      </c>
    </row>
    <row r="62" spans="1:7" s="208" customFormat="1" ht="18.75">
      <c r="A62" s="250" t="s">
        <v>19</v>
      </c>
      <c r="B62" s="227" t="s">
        <v>396</v>
      </c>
      <c r="C62" s="222">
        <f>'PL14'!C52</f>
        <v>55</v>
      </c>
      <c r="D62" s="222">
        <v>50</v>
      </c>
      <c r="E62" s="222">
        <f t="shared" si="0"/>
        <v>-5</v>
      </c>
      <c r="F62" s="296">
        <f t="shared" si="1"/>
        <v>0.90909090909090906</v>
      </c>
    </row>
    <row r="63" spans="1:7" s="208" customFormat="1" ht="18.75">
      <c r="A63" s="250" t="s">
        <v>19</v>
      </c>
      <c r="B63" s="227" t="s">
        <v>397</v>
      </c>
      <c r="C63" s="222">
        <f>'PL14'!C53</f>
        <v>50</v>
      </c>
      <c r="D63" s="222">
        <v>50</v>
      </c>
      <c r="E63" s="222">
        <f t="shared" si="0"/>
        <v>0</v>
      </c>
      <c r="F63" s="296">
        <f t="shared" si="1"/>
        <v>1</v>
      </c>
    </row>
    <row r="64" spans="1:7" s="208" customFormat="1" ht="18.75">
      <c r="A64" s="250" t="s">
        <v>19</v>
      </c>
      <c r="B64" s="227" t="s">
        <v>398</v>
      </c>
      <c r="C64" s="222">
        <f>'PL14'!C54</f>
        <v>32</v>
      </c>
      <c r="D64" s="222">
        <v>40</v>
      </c>
      <c r="E64" s="222">
        <f t="shared" si="0"/>
        <v>8</v>
      </c>
      <c r="F64" s="296">
        <f t="shared" si="1"/>
        <v>1.25</v>
      </c>
    </row>
    <row r="65" spans="1:6" s="208" customFormat="1" ht="18.75">
      <c r="A65" s="250" t="s">
        <v>19</v>
      </c>
      <c r="B65" s="227" t="s">
        <v>399</v>
      </c>
      <c r="C65" s="222">
        <f>'PL14'!C55</f>
        <v>32</v>
      </c>
      <c r="D65" s="222">
        <v>50</v>
      </c>
      <c r="E65" s="222">
        <f t="shared" si="0"/>
        <v>18</v>
      </c>
      <c r="F65" s="296">
        <f t="shared" si="1"/>
        <v>1.5625</v>
      </c>
    </row>
    <row r="66" spans="1:6" s="208" customFormat="1" ht="18.75">
      <c r="A66" s="250" t="s">
        <v>19</v>
      </c>
      <c r="B66" s="227" t="s">
        <v>400</v>
      </c>
      <c r="C66" s="222">
        <f>'PL14'!C56</f>
        <v>32</v>
      </c>
      <c r="D66" s="222">
        <v>50</v>
      </c>
      <c r="E66" s="222">
        <f t="shared" si="0"/>
        <v>18</v>
      </c>
      <c r="F66" s="296">
        <f t="shared" si="1"/>
        <v>1.5625</v>
      </c>
    </row>
    <row r="67" spans="1:6" s="208" customFormat="1" ht="18.75">
      <c r="A67" s="250" t="s">
        <v>19</v>
      </c>
      <c r="B67" s="227" t="s">
        <v>401</v>
      </c>
      <c r="C67" s="222">
        <f>'PL14'!C57</f>
        <v>35</v>
      </c>
      <c r="D67" s="222">
        <v>50</v>
      </c>
      <c r="E67" s="222">
        <f t="shared" si="0"/>
        <v>15</v>
      </c>
      <c r="F67" s="296">
        <f t="shared" si="1"/>
        <v>1.4285714285714286</v>
      </c>
    </row>
    <row r="68" spans="1:6" s="208" customFormat="1" ht="18.75">
      <c r="A68" s="250" t="s">
        <v>19</v>
      </c>
      <c r="B68" s="227" t="s">
        <v>708</v>
      </c>
      <c r="C68" s="222">
        <f>'PL14'!C58</f>
        <v>25</v>
      </c>
      <c r="D68" s="222"/>
      <c r="E68" s="222">
        <f t="shared" si="0"/>
        <v>-25</v>
      </c>
      <c r="F68" s="296">
        <f t="shared" si="1"/>
        <v>0</v>
      </c>
    </row>
    <row r="69" spans="1:6" s="208" customFormat="1" ht="18.75">
      <c r="A69" s="250" t="s">
        <v>19</v>
      </c>
      <c r="B69" s="227" t="s">
        <v>402</v>
      </c>
      <c r="C69" s="222"/>
      <c r="D69" s="222">
        <v>50</v>
      </c>
      <c r="E69" s="222">
        <f t="shared" si="0"/>
        <v>50</v>
      </c>
      <c r="F69" s="296"/>
    </row>
    <row r="70" spans="1:6" s="208" customFormat="1" ht="18.75">
      <c r="A70" s="250" t="s">
        <v>19</v>
      </c>
      <c r="B70" s="227" t="s">
        <v>403</v>
      </c>
      <c r="C70" s="222"/>
      <c r="D70" s="222">
        <v>50</v>
      </c>
      <c r="E70" s="222">
        <f t="shared" si="0"/>
        <v>50</v>
      </c>
      <c r="F70" s="296"/>
    </row>
    <row r="71" spans="1:6" s="208" customFormat="1" ht="18.75">
      <c r="A71" s="250" t="s">
        <v>19</v>
      </c>
      <c r="B71" s="227" t="s">
        <v>404</v>
      </c>
      <c r="C71" s="222"/>
      <c r="D71" s="222">
        <v>50</v>
      </c>
      <c r="E71" s="222">
        <f t="shared" si="0"/>
        <v>50</v>
      </c>
      <c r="F71" s="296"/>
    </row>
    <row r="72" spans="1:6" s="208" customFormat="1" ht="18.75">
      <c r="A72" s="250" t="s">
        <v>19</v>
      </c>
      <c r="B72" s="227" t="s">
        <v>405</v>
      </c>
      <c r="C72" s="222"/>
      <c r="D72" s="222">
        <v>50</v>
      </c>
      <c r="E72" s="222">
        <f t="shared" si="0"/>
        <v>50</v>
      </c>
      <c r="F72" s="296"/>
    </row>
    <row r="73" spans="1:6" s="208" customFormat="1" ht="18.75">
      <c r="A73" s="250" t="s">
        <v>406</v>
      </c>
      <c r="B73" s="227" t="s">
        <v>407</v>
      </c>
      <c r="C73" s="222">
        <f>'PL14'!C59</f>
        <v>1084</v>
      </c>
      <c r="D73" s="222">
        <v>1658</v>
      </c>
      <c r="E73" s="222">
        <f t="shared" si="0"/>
        <v>574</v>
      </c>
      <c r="F73" s="296">
        <f t="shared" si="1"/>
        <v>1.5295202952029521</v>
      </c>
    </row>
    <row r="74" spans="1:6" s="208" customFormat="1" ht="37.5">
      <c r="A74" s="250">
        <v>2</v>
      </c>
      <c r="B74" s="227" t="s">
        <v>408</v>
      </c>
      <c r="C74" s="222">
        <f>C75</f>
        <v>50909</v>
      </c>
      <c r="D74" s="222">
        <f>D75</f>
        <v>58209</v>
      </c>
      <c r="E74" s="222">
        <f t="shared" si="0"/>
        <v>7300</v>
      </c>
      <c r="F74" s="296">
        <f t="shared" si="1"/>
        <v>1.1433931132019879</v>
      </c>
    </row>
    <row r="75" spans="1:6" s="208" customFormat="1" ht="37.5">
      <c r="A75" s="250" t="s">
        <v>19</v>
      </c>
      <c r="B75" s="227" t="s">
        <v>709</v>
      </c>
      <c r="C75" s="222">
        <f>SUM(C76:C79)</f>
        <v>50909</v>
      </c>
      <c r="D75" s="222">
        <f>SUM(D76:D79)</f>
        <v>58209</v>
      </c>
      <c r="E75" s="222">
        <f>SUM(E76:E79)</f>
        <v>7300</v>
      </c>
      <c r="F75" s="296">
        <f t="shared" si="1"/>
        <v>1.1433931132019879</v>
      </c>
    </row>
    <row r="76" spans="1:6" s="219" customFormat="1" ht="45" customHeight="1">
      <c r="A76" s="255" t="s">
        <v>432</v>
      </c>
      <c r="B76" s="232" t="s">
        <v>409</v>
      </c>
      <c r="C76" s="231">
        <f>'PL14'!C62</f>
        <v>17000</v>
      </c>
      <c r="D76" s="231">
        <v>9400</v>
      </c>
      <c r="E76" s="231">
        <f t="shared" si="0"/>
        <v>-7600</v>
      </c>
      <c r="F76" s="295">
        <f t="shared" si="1"/>
        <v>0.55294117647058827</v>
      </c>
    </row>
    <row r="77" spans="1:6" s="219" customFormat="1" ht="120.75" customHeight="1">
      <c r="A77" s="255" t="s">
        <v>432</v>
      </c>
      <c r="B77" s="232" t="s">
        <v>710</v>
      </c>
      <c r="C77" s="231">
        <f>'PL14'!C63</f>
        <v>33909</v>
      </c>
      <c r="D77" s="231"/>
      <c r="E77" s="231">
        <f t="shared" si="0"/>
        <v>-33909</v>
      </c>
      <c r="F77" s="295">
        <f t="shared" si="1"/>
        <v>0</v>
      </c>
    </row>
    <row r="78" spans="1:6" s="219" customFormat="1" ht="56.25">
      <c r="A78" s="255" t="s">
        <v>432</v>
      </c>
      <c r="B78" s="232" t="s">
        <v>771</v>
      </c>
      <c r="C78" s="231"/>
      <c r="D78" s="231">
        <v>1900</v>
      </c>
      <c r="E78" s="231">
        <f t="shared" si="0"/>
        <v>1900</v>
      </c>
      <c r="F78" s="295"/>
    </row>
    <row r="79" spans="1:6" s="219" customFormat="1" ht="75">
      <c r="A79" s="255" t="s">
        <v>432</v>
      </c>
      <c r="B79" s="232" t="s">
        <v>772</v>
      </c>
      <c r="C79" s="231"/>
      <c r="D79" s="231">
        <v>46909</v>
      </c>
      <c r="E79" s="231">
        <f t="shared" si="0"/>
        <v>46909</v>
      </c>
      <c r="F79" s="295"/>
    </row>
    <row r="80" spans="1:6" s="208" customFormat="1" ht="56.25">
      <c r="A80" s="250">
        <v>3</v>
      </c>
      <c r="B80" s="227" t="s">
        <v>412</v>
      </c>
      <c r="C80" s="222">
        <f>'PL14'!C64</f>
        <v>259</v>
      </c>
      <c r="D80" s="222">
        <v>280</v>
      </c>
      <c r="E80" s="222">
        <f t="shared" si="0"/>
        <v>21</v>
      </c>
      <c r="F80" s="296">
        <f t="shared" si="1"/>
        <v>1.0810810810810811</v>
      </c>
    </row>
    <row r="81" spans="1:6" s="208" customFormat="1" ht="18.75">
      <c r="A81" s="250">
        <v>4</v>
      </c>
      <c r="B81" s="227" t="s">
        <v>413</v>
      </c>
      <c r="C81" s="222">
        <f>SUM(C82:C84)</f>
        <v>1000</v>
      </c>
      <c r="D81" s="222">
        <f>SUM(D82:D84)</f>
        <v>940</v>
      </c>
      <c r="E81" s="222">
        <f t="shared" si="0"/>
        <v>-60</v>
      </c>
      <c r="F81" s="296">
        <f t="shared" si="1"/>
        <v>0.94</v>
      </c>
    </row>
    <row r="82" spans="1:6" s="208" customFormat="1" ht="18.75">
      <c r="A82" s="250" t="s">
        <v>19</v>
      </c>
      <c r="B82" s="162" t="s">
        <v>271</v>
      </c>
      <c r="C82" s="222">
        <f>'PL14'!C66</f>
        <v>300</v>
      </c>
      <c r="D82" s="222"/>
      <c r="E82" s="222">
        <f t="shared" si="0"/>
        <v>-300</v>
      </c>
      <c r="F82" s="296">
        <f t="shared" si="1"/>
        <v>0</v>
      </c>
    </row>
    <row r="83" spans="1:6" s="208" customFormat="1" ht="18.75">
      <c r="A83" s="250" t="s">
        <v>19</v>
      </c>
      <c r="B83" s="162" t="s">
        <v>414</v>
      </c>
      <c r="C83" s="222">
        <f>'PL14'!C67</f>
        <v>400</v>
      </c>
      <c r="D83" s="222">
        <v>370</v>
      </c>
      <c r="E83" s="222">
        <f t="shared" si="0"/>
        <v>-30</v>
      </c>
      <c r="F83" s="296">
        <f t="shared" si="1"/>
        <v>0.92500000000000004</v>
      </c>
    </row>
    <row r="84" spans="1:6" s="208" customFormat="1" ht="18.75">
      <c r="A84" s="250" t="s">
        <v>19</v>
      </c>
      <c r="B84" s="162" t="s">
        <v>415</v>
      </c>
      <c r="C84" s="222">
        <f>'PL14'!C68</f>
        <v>300</v>
      </c>
      <c r="D84" s="222">
        <v>570</v>
      </c>
      <c r="E84" s="222">
        <f t="shared" si="0"/>
        <v>270</v>
      </c>
      <c r="F84" s="296">
        <f t="shared" si="1"/>
        <v>1.9</v>
      </c>
    </row>
    <row r="85" spans="1:6" s="208" customFormat="1" ht="37.5">
      <c r="A85" s="250">
        <v>5</v>
      </c>
      <c r="B85" s="162" t="s">
        <v>416</v>
      </c>
      <c r="C85" s="222">
        <f>C86+C99</f>
        <v>23995</v>
      </c>
      <c r="D85" s="222">
        <f>D86+D99</f>
        <v>26700</v>
      </c>
      <c r="E85" s="222">
        <f>E86+E99</f>
        <v>2705</v>
      </c>
      <c r="F85" s="296">
        <f t="shared" si="1"/>
        <v>1.1127318191289852</v>
      </c>
    </row>
    <row r="86" spans="1:6" s="208" customFormat="1" ht="18.75">
      <c r="A86" s="250" t="s">
        <v>388</v>
      </c>
      <c r="B86" s="227" t="s">
        <v>389</v>
      </c>
      <c r="C86" s="222">
        <f>SUM(C87:C98)</f>
        <v>23827</v>
      </c>
      <c r="D86" s="222">
        <f>SUM(D87:D98)</f>
        <v>22426</v>
      </c>
      <c r="E86" s="222">
        <f>SUM(E87:E98)</f>
        <v>-1401</v>
      </c>
      <c r="F86" s="296"/>
    </row>
    <row r="87" spans="1:6" s="208" customFormat="1" ht="18.75">
      <c r="A87" s="161" t="s">
        <v>19</v>
      </c>
      <c r="B87" s="162" t="s">
        <v>417</v>
      </c>
      <c r="C87" s="222">
        <f>'PL14'!C70</f>
        <v>400</v>
      </c>
      <c r="D87" s="222">
        <v>300</v>
      </c>
      <c r="E87" s="222">
        <f t="shared" si="0"/>
        <v>-100</v>
      </c>
      <c r="F87" s="296">
        <f t="shared" si="1"/>
        <v>0.75</v>
      </c>
    </row>
    <row r="88" spans="1:6" s="208" customFormat="1" ht="18.75">
      <c r="A88" s="161" t="s">
        <v>19</v>
      </c>
      <c r="B88" s="162" t="s">
        <v>144</v>
      </c>
      <c r="C88" s="222">
        <f>'PL14'!C71</f>
        <v>5186</v>
      </c>
      <c r="D88" s="222">
        <v>4698</v>
      </c>
      <c r="E88" s="222">
        <f t="shared" si="0"/>
        <v>-488</v>
      </c>
      <c r="F88" s="296">
        <f t="shared" si="1"/>
        <v>0.90590050134978795</v>
      </c>
    </row>
    <row r="89" spans="1:6" s="208" customFormat="1" ht="18.75">
      <c r="A89" s="161" t="s">
        <v>19</v>
      </c>
      <c r="B89" s="162" t="s">
        <v>418</v>
      </c>
      <c r="C89" s="222">
        <f>'PL14'!C72</f>
        <v>2560</v>
      </c>
      <c r="D89" s="222">
        <v>1900</v>
      </c>
      <c r="E89" s="222">
        <f t="shared" si="0"/>
        <v>-660</v>
      </c>
      <c r="F89" s="296"/>
    </row>
    <row r="90" spans="1:6" s="208" customFormat="1" ht="18.75">
      <c r="A90" s="161" t="s">
        <v>19</v>
      </c>
      <c r="B90" s="162" t="s">
        <v>419</v>
      </c>
      <c r="C90" s="222">
        <f>'PL14'!C73</f>
        <v>449</v>
      </c>
      <c r="D90" s="222">
        <v>749</v>
      </c>
      <c r="E90" s="222">
        <f t="shared" si="0"/>
        <v>300</v>
      </c>
      <c r="F90" s="296"/>
    </row>
    <row r="91" spans="1:6" s="208" customFormat="1" ht="18.75">
      <c r="A91" s="161" t="s">
        <v>19</v>
      </c>
      <c r="B91" s="162" t="s">
        <v>420</v>
      </c>
      <c r="C91" s="222">
        <f>'PL14'!C74</f>
        <v>384</v>
      </c>
      <c r="D91" s="222">
        <v>0</v>
      </c>
      <c r="E91" s="222">
        <f t="shared" ref="E91:E136" si="2">D91-C91</f>
        <v>-384</v>
      </c>
      <c r="F91" s="296"/>
    </row>
    <row r="92" spans="1:6" s="208" customFormat="1" ht="18.75">
      <c r="A92" s="161" t="s">
        <v>19</v>
      </c>
      <c r="B92" s="162" t="s">
        <v>421</v>
      </c>
      <c r="C92" s="222">
        <f>'PL14'!C75</f>
        <v>5393</v>
      </c>
      <c r="D92" s="222">
        <v>5278</v>
      </c>
      <c r="E92" s="222">
        <f t="shared" si="2"/>
        <v>-115</v>
      </c>
      <c r="F92" s="296"/>
    </row>
    <row r="93" spans="1:6" s="208" customFormat="1" ht="18.75">
      <c r="A93" s="161" t="s">
        <v>19</v>
      </c>
      <c r="B93" s="162" t="s">
        <v>422</v>
      </c>
      <c r="C93" s="222">
        <f>'PL14'!C76</f>
        <v>1102</v>
      </c>
      <c r="D93" s="222">
        <v>814</v>
      </c>
      <c r="E93" s="222">
        <f t="shared" si="2"/>
        <v>-288</v>
      </c>
      <c r="F93" s="296"/>
    </row>
    <row r="94" spans="1:6" s="208" customFormat="1" ht="18.75">
      <c r="A94" s="161" t="s">
        <v>19</v>
      </c>
      <c r="B94" s="162" t="s">
        <v>423</v>
      </c>
      <c r="C94" s="222">
        <f>'PL14'!C77</f>
        <v>3254</v>
      </c>
      <c r="D94" s="222">
        <v>3934</v>
      </c>
      <c r="E94" s="222">
        <f t="shared" si="2"/>
        <v>680</v>
      </c>
      <c r="F94" s="296"/>
    </row>
    <row r="95" spans="1:6" s="208" customFormat="1" ht="18.75">
      <c r="A95" s="161" t="s">
        <v>19</v>
      </c>
      <c r="B95" s="162" t="s">
        <v>424</v>
      </c>
      <c r="C95" s="222">
        <f>'PL14'!C78</f>
        <v>4237</v>
      </c>
      <c r="D95" s="222">
        <v>4146</v>
      </c>
      <c r="E95" s="222">
        <f t="shared" si="2"/>
        <v>-91</v>
      </c>
      <c r="F95" s="296"/>
    </row>
    <row r="96" spans="1:6" s="208" customFormat="1" ht="18.75">
      <c r="A96" s="161" t="s">
        <v>19</v>
      </c>
      <c r="B96" s="162" t="s">
        <v>711</v>
      </c>
      <c r="C96" s="222">
        <f>'PL14'!C79</f>
        <v>25</v>
      </c>
      <c r="D96" s="222">
        <v>0</v>
      </c>
      <c r="E96" s="222">
        <f t="shared" si="2"/>
        <v>-25</v>
      </c>
      <c r="F96" s="296"/>
    </row>
    <row r="97" spans="1:6" s="208" customFormat="1" ht="18.75">
      <c r="A97" s="161" t="s">
        <v>19</v>
      </c>
      <c r="B97" s="162" t="s">
        <v>425</v>
      </c>
      <c r="C97" s="222">
        <f>'PL14'!C81</f>
        <v>737</v>
      </c>
      <c r="D97" s="222">
        <v>607</v>
      </c>
      <c r="E97" s="222">
        <f t="shared" si="2"/>
        <v>-130</v>
      </c>
      <c r="F97" s="296"/>
    </row>
    <row r="98" spans="1:6" s="208" customFormat="1" ht="18.75">
      <c r="A98" s="161" t="s">
        <v>19</v>
      </c>
      <c r="B98" s="162" t="s">
        <v>713</v>
      </c>
      <c r="C98" s="222">
        <f>'PL14'!C82</f>
        <v>100</v>
      </c>
      <c r="D98" s="222"/>
      <c r="E98" s="222">
        <f t="shared" si="2"/>
        <v>-100</v>
      </c>
      <c r="F98" s="296"/>
    </row>
    <row r="99" spans="1:6" s="208" customFormat="1" ht="18.75">
      <c r="A99" s="250" t="s">
        <v>406</v>
      </c>
      <c r="B99" s="227" t="s">
        <v>407</v>
      </c>
      <c r="C99" s="222">
        <f>'PL14'!C80</f>
        <v>168</v>
      </c>
      <c r="D99" s="222">
        <v>4274</v>
      </c>
      <c r="E99" s="222">
        <f t="shared" si="2"/>
        <v>4106</v>
      </c>
      <c r="F99" s="296"/>
    </row>
    <row r="100" spans="1:6" s="208" customFormat="1" ht="18.75">
      <c r="A100" s="161">
        <v>6</v>
      </c>
      <c r="B100" s="162" t="s">
        <v>428</v>
      </c>
      <c r="C100" s="222">
        <f>C101+C104</f>
        <v>48480.727830000003</v>
      </c>
      <c r="D100" s="222">
        <f>D101+D104</f>
        <v>66375</v>
      </c>
      <c r="E100" s="222">
        <f t="shared" si="2"/>
        <v>17894.272169999997</v>
      </c>
      <c r="F100" s="296"/>
    </row>
    <row r="101" spans="1:6" s="208" customFormat="1" ht="18.75">
      <c r="A101" s="250" t="s">
        <v>388</v>
      </c>
      <c r="B101" s="227" t="s">
        <v>389</v>
      </c>
      <c r="C101" s="222">
        <f>C102+C103</f>
        <v>174.72782999999998</v>
      </c>
      <c r="D101" s="222">
        <f>D102+D103</f>
        <v>580</v>
      </c>
      <c r="E101" s="222">
        <f t="shared" si="2"/>
        <v>405.27217000000002</v>
      </c>
      <c r="F101" s="296"/>
    </row>
    <row r="102" spans="1:6" s="208" customFormat="1" ht="18.75">
      <c r="A102" s="161" t="s">
        <v>19</v>
      </c>
      <c r="B102" s="162" t="s">
        <v>429</v>
      </c>
      <c r="C102" s="222">
        <f>'PL14'!C84</f>
        <v>174.72782999999998</v>
      </c>
      <c r="D102" s="222">
        <v>246</v>
      </c>
      <c r="E102" s="222">
        <f t="shared" si="2"/>
        <v>71.272170000000017</v>
      </c>
      <c r="F102" s="296"/>
    </row>
    <row r="103" spans="1:6" s="208" customFormat="1" ht="18.75">
      <c r="A103" s="161" t="s">
        <v>19</v>
      </c>
      <c r="B103" s="162" t="s">
        <v>430</v>
      </c>
      <c r="C103" s="222"/>
      <c r="D103" s="222">
        <v>334</v>
      </c>
      <c r="E103" s="222">
        <f t="shared" si="2"/>
        <v>334</v>
      </c>
      <c r="F103" s="296"/>
    </row>
    <row r="104" spans="1:6" s="208" customFormat="1" ht="18.75">
      <c r="A104" s="250" t="s">
        <v>406</v>
      </c>
      <c r="B104" s="227" t="s">
        <v>407</v>
      </c>
      <c r="C104" s="222">
        <f>'PL14'!C85</f>
        <v>48306</v>
      </c>
      <c r="D104" s="222">
        <v>65795</v>
      </c>
      <c r="E104" s="222">
        <f t="shared" si="2"/>
        <v>17489</v>
      </c>
      <c r="F104" s="296"/>
    </row>
    <row r="105" spans="1:6" s="208" customFormat="1" ht="18.75">
      <c r="A105" s="161">
        <v>7</v>
      </c>
      <c r="B105" s="162" t="s">
        <v>431</v>
      </c>
      <c r="C105" s="222">
        <f>C106+C130</f>
        <v>36324</v>
      </c>
      <c r="D105" s="222">
        <f>D106+D130</f>
        <v>301248</v>
      </c>
      <c r="E105" s="222">
        <f t="shared" si="2"/>
        <v>264924</v>
      </c>
      <c r="F105" s="296"/>
    </row>
    <row r="106" spans="1:6" s="208" customFormat="1" ht="18.75">
      <c r="A106" s="161" t="s">
        <v>388</v>
      </c>
      <c r="B106" s="162" t="s">
        <v>389</v>
      </c>
      <c r="C106" s="222">
        <f>C107+C111+C114+C123+C128</f>
        <v>26671</v>
      </c>
      <c r="D106" s="222">
        <f>D107+D111+D114+D123+D128</f>
        <v>201277</v>
      </c>
      <c r="E106" s="222">
        <f t="shared" si="2"/>
        <v>174606</v>
      </c>
      <c r="F106" s="296"/>
    </row>
    <row r="107" spans="1:6" s="208" customFormat="1" ht="18.75">
      <c r="A107" s="161" t="s">
        <v>19</v>
      </c>
      <c r="B107" s="162" t="s">
        <v>146</v>
      </c>
      <c r="C107" s="222">
        <f>SUM(C108:C110)</f>
        <v>7558</v>
      </c>
      <c r="D107" s="222">
        <f>SUM(D108:D110)</f>
        <v>8604</v>
      </c>
      <c r="E107" s="222">
        <f t="shared" si="2"/>
        <v>1046</v>
      </c>
      <c r="F107" s="296"/>
    </row>
    <row r="108" spans="1:6" s="219" customFormat="1" ht="75">
      <c r="A108" s="257" t="s">
        <v>432</v>
      </c>
      <c r="B108" s="258" t="s">
        <v>437</v>
      </c>
      <c r="C108" s="231">
        <f>'PL14'!C89</f>
        <v>2830</v>
      </c>
      <c r="D108" s="231">
        <v>1960</v>
      </c>
      <c r="E108" s="222">
        <f t="shared" si="2"/>
        <v>-870</v>
      </c>
      <c r="F108" s="295"/>
    </row>
    <row r="109" spans="1:6" s="219" customFormat="1" ht="75">
      <c r="A109" s="257" t="s">
        <v>432</v>
      </c>
      <c r="B109" s="258" t="s">
        <v>438</v>
      </c>
      <c r="C109" s="231">
        <f>'PL14'!C90</f>
        <v>4634</v>
      </c>
      <c r="D109" s="231">
        <v>6597</v>
      </c>
      <c r="E109" s="222">
        <f t="shared" si="2"/>
        <v>1963</v>
      </c>
      <c r="F109" s="295"/>
    </row>
    <row r="110" spans="1:6" s="219" customFormat="1" ht="75">
      <c r="A110" s="257" t="s">
        <v>432</v>
      </c>
      <c r="B110" s="258" t="s">
        <v>436</v>
      </c>
      <c r="C110" s="231">
        <f>'PL14'!C91</f>
        <v>94</v>
      </c>
      <c r="D110" s="231">
        <v>47</v>
      </c>
      <c r="E110" s="222">
        <f t="shared" si="2"/>
        <v>-47</v>
      </c>
      <c r="F110" s="295"/>
    </row>
    <row r="111" spans="1:6" s="208" customFormat="1" ht="18.75">
      <c r="A111" s="161" t="s">
        <v>19</v>
      </c>
      <c r="B111" s="162" t="s">
        <v>439</v>
      </c>
      <c r="C111" s="222">
        <f>C112+C113</f>
        <v>131</v>
      </c>
      <c r="D111" s="222">
        <f>D112+D113</f>
        <v>3346</v>
      </c>
      <c r="E111" s="222">
        <f t="shared" si="2"/>
        <v>3215</v>
      </c>
      <c r="F111" s="296"/>
    </row>
    <row r="112" spans="1:6" s="219" customFormat="1" ht="56.25">
      <c r="A112" s="257" t="s">
        <v>432</v>
      </c>
      <c r="B112" s="258" t="s">
        <v>441</v>
      </c>
      <c r="C112" s="231">
        <f>'PL14'!C93</f>
        <v>131</v>
      </c>
      <c r="D112" s="231">
        <v>3089</v>
      </c>
      <c r="E112" s="222">
        <f t="shared" si="2"/>
        <v>2958</v>
      </c>
      <c r="F112" s="295"/>
    </row>
    <row r="113" spans="1:6" s="219" customFormat="1" ht="18.75">
      <c r="A113" s="257" t="s">
        <v>432</v>
      </c>
      <c r="B113" s="258" t="s">
        <v>440</v>
      </c>
      <c r="C113" s="231"/>
      <c r="D113" s="231">
        <v>257</v>
      </c>
      <c r="E113" s="222">
        <f t="shared" si="2"/>
        <v>257</v>
      </c>
      <c r="F113" s="295"/>
    </row>
    <row r="114" spans="1:6" s="208" customFormat="1" ht="18.75">
      <c r="A114" s="161" t="s">
        <v>19</v>
      </c>
      <c r="B114" s="162" t="s">
        <v>442</v>
      </c>
      <c r="C114" s="222">
        <f>SUM(C115:C122)</f>
        <v>18982</v>
      </c>
      <c r="D114" s="222">
        <f>SUM(D115:D122)</f>
        <v>155006</v>
      </c>
      <c r="E114" s="222">
        <f t="shared" si="2"/>
        <v>136024</v>
      </c>
      <c r="F114" s="296"/>
    </row>
    <row r="115" spans="1:6" s="219" customFormat="1" ht="18.75">
      <c r="A115" s="257" t="s">
        <v>432</v>
      </c>
      <c r="B115" s="258" t="s">
        <v>443</v>
      </c>
      <c r="C115" s="231">
        <f>'PL14'!C95</f>
        <v>4591</v>
      </c>
      <c r="D115" s="231">
        <v>39891</v>
      </c>
      <c r="E115" s="222">
        <f t="shared" si="2"/>
        <v>35300</v>
      </c>
      <c r="F115" s="295"/>
    </row>
    <row r="116" spans="1:6" s="219" customFormat="1" ht="56.25">
      <c r="A116" s="257" t="s">
        <v>432</v>
      </c>
      <c r="B116" s="258" t="s">
        <v>444</v>
      </c>
      <c r="C116" s="231">
        <f>'PL14'!C96</f>
        <v>3645</v>
      </c>
      <c r="D116" s="231">
        <v>46073</v>
      </c>
      <c r="E116" s="222">
        <f t="shared" si="2"/>
        <v>42428</v>
      </c>
      <c r="F116" s="295"/>
    </row>
    <row r="117" spans="1:6" s="219" customFormat="1" ht="18.75">
      <c r="A117" s="257" t="s">
        <v>432</v>
      </c>
      <c r="B117" s="258" t="s">
        <v>445</v>
      </c>
      <c r="C117" s="231">
        <f>'PL14'!C97</f>
        <v>3</v>
      </c>
      <c r="D117" s="231">
        <v>5</v>
      </c>
      <c r="E117" s="222">
        <f t="shared" si="2"/>
        <v>2</v>
      </c>
      <c r="F117" s="295"/>
    </row>
    <row r="118" spans="1:6" s="219" customFormat="1" ht="18.75">
      <c r="A118" s="257" t="s">
        <v>432</v>
      </c>
      <c r="B118" s="258" t="s">
        <v>446</v>
      </c>
      <c r="C118" s="231">
        <f>'PL14'!C98</f>
        <v>3516</v>
      </c>
      <c r="D118" s="231">
        <v>5849</v>
      </c>
      <c r="E118" s="222">
        <f t="shared" si="2"/>
        <v>2333</v>
      </c>
      <c r="F118" s="295"/>
    </row>
    <row r="119" spans="1:6" s="219" customFormat="1" ht="18.75">
      <c r="A119" s="257" t="s">
        <v>432</v>
      </c>
      <c r="B119" s="258" t="s">
        <v>450</v>
      </c>
      <c r="C119" s="231">
        <f>'PL14'!C99</f>
        <v>7227</v>
      </c>
      <c r="D119" s="231">
        <v>7282</v>
      </c>
      <c r="E119" s="222">
        <f t="shared" si="2"/>
        <v>55</v>
      </c>
      <c r="F119" s="295"/>
    </row>
    <row r="120" spans="1:6" s="219" customFormat="1" ht="18.75">
      <c r="A120" s="257" t="s">
        <v>432</v>
      </c>
      <c r="B120" s="258" t="s">
        <v>447</v>
      </c>
      <c r="C120" s="231"/>
      <c r="D120" s="231">
        <v>17882</v>
      </c>
      <c r="E120" s="222">
        <f t="shared" si="2"/>
        <v>17882</v>
      </c>
      <c r="F120" s="295"/>
    </row>
    <row r="121" spans="1:6" s="219" customFormat="1" ht="37.5">
      <c r="A121" s="257" t="s">
        <v>432</v>
      </c>
      <c r="B121" s="258" t="s">
        <v>448</v>
      </c>
      <c r="C121" s="231"/>
      <c r="D121" s="231">
        <v>12284</v>
      </c>
      <c r="E121" s="222">
        <f t="shared" si="2"/>
        <v>12284</v>
      </c>
      <c r="F121" s="295"/>
    </row>
    <row r="122" spans="1:6" s="219" customFormat="1" ht="75">
      <c r="A122" s="257" t="s">
        <v>432</v>
      </c>
      <c r="B122" s="258" t="s">
        <v>449</v>
      </c>
      <c r="C122" s="231"/>
      <c r="D122" s="231">
        <v>25740</v>
      </c>
      <c r="E122" s="222">
        <f t="shared" si="2"/>
        <v>25740</v>
      </c>
      <c r="F122" s="295"/>
    </row>
    <row r="123" spans="1:6" s="208" customFormat="1" ht="18.75">
      <c r="A123" s="161" t="s">
        <v>19</v>
      </c>
      <c r="B123" s="162" t="s">
        <v>268</v>
      </c>
      <c r="C123" s="222">
        <f>SUM(C124:C127)</f>
        <v>0</v>
      </c>
      <c r="D123" s="222">
        <f>SUM(D124:D127)</f>
        <v>29978</v>
      </c>
      <c r="E123" s="222">
        <f t="shared" si="2"/>
        <v>29978</v>
      </c>
      <c r="F123" s="296"/>
    </row>
    <row r="124" spans="1:6" s="219" customFormat="1" ht="56.25">
      <c r="A124" s="257" t="s">
        <v>432</v>
      </c>
      <c r="B124" s="258" t="s">
        <v>433</v>
      </c>
      <c r="C124" s="231"/>
      <c r="D124" s="231">
        <v>8</v>
      </c>
      <c r="E124" s="222">
        <f t="shared" si="2"/>
        <v>8</v>
      </c>
      <c r="F124" s="295"/>
    </row>
    <row r="125" spans="1:6" s="219" customFormat="1" ht="56.25">
      <c r="A125" s="257" t="s">
        <v>432</v>
      </c>
      <c r="B125" s="258" t="s">
        <v>434</v>
      </c>
      <c r="C125" s="231"/>
      <c r="D125" s="231">
        <v>420</v>
      </c>
      <c r="E125" s="222">
        <f t="shared" si="2"/>
        <v>420</v>
      </c>
      <c r="F125" s="295"/>
    </row>
    <row r="126" spans="1:6" s="219" customFormat="1" ht="56.25">
      <c r="A126" s="257" t="s">
        <v>432</v>
      </c>
      <c r="B126" s="258" t="s">
        <v>435</v>
      </c>
      <c r="C126" s="231"/>
      <c r="D126" s="231">
        <v>28646</v>
      </c>
      <c r="E126" s="222">
        <f t="shared" si="2"/>
        <v>28646</v>
      </c>
      <c r="F126" s="295"/>
    </row>
    <row r="127" spans="1:6" s="219" customFormat="1" ht="75">
      <c r="A127" s="257" t="s">
        <v>432</v>
      </c>
      <c r="B127" s="258" t="s">
        <v>436</v>
      </c>
      <c r="C127" s="231"/>
      <c r="D127" s="231">
        <v>904</v>
      </c>
      <c r="E127" s="222">
        <f t="shared" si="2"/>
        <v>904</v>
      </c>
      <c r="F127" s="295"/>
    </row>
    <row r="128" spans="1:6" s="208" customFormat="1" ht="18.75">
      <c r="A128" s="161" t="s">
        <v>19</v>
      </c>
      <c r="B128" s="162" t="s">
        <v>152</v>
      </c>
      <c r="C128" s="222"/>
      <c r="D128" s="222">
        <f>D129</f>
        <v>4343</v>
      </c>
      <c r="E128" s="222">
        <f t="shared" si="2"/>
        <v>4343</v>
      </c>
      <c r="F128" s="296"/>
    </row>
    <row r="129" spans="1:6" s="219" customFormat="1" ht="75">
      <c r="A129" s="257" t="s">
        <v>432</v>
      </c>
      <c r="B129" s="258" t="s">
        <v>451</v>
      </c>
      <c r="C129" s="231"/>
      <c r="D129" s="231">
        <v>4343</v>
      </c>
      <c r="E129" s="222">
        <f t="shared" si="2"/>
        <v>4343</v>
      </c>
      <c r="F129" s="295"/>
    </row>
    <row r="130" spans="1:6" s="208" customFormat="1" ht="18.75">
      <c r="A130" s="161" t="s">
        <v>406</v>
      </c>
      <c r="B130" s="162" t="s">
        <v>407</v>
      </c>
      <c r="C130" s="222">
        <f>'PL14'!C100</f>
        <v>9653</v>
      </c>
      <c r="D130" s="222">
        <v>99971</v>
      </c>
      <c r="E130" s="222">
        <f t="shared" si="2"/>
        <v>90318</v>
      </c>
      <c r="F130" s="296"/>
    </row>
    <row r="131" spans="1:6" s="208" customFormat="1" ht="37.5">
      <c r="A131" s="161">
        <v>8</v>
      </c>
      <c r="B131" s="162" t="s">
        <v>426</v>
      </c>
      <c r="C131" s="222"/>
      <c r="D131" s="222">
        <v>433</v>
      </c>
      <c r="E131" s="222">
        <f t="shared" si="2"/>
        <v>433</v>
      </c>
      <c r="F131" s="296"/>
    </row>
    <row r="132" spans="1:6" s="208" customFormat="1" ht="18.75">
      <c r="A132" s="161">
        <v>9</v>
      </c>
      <c r="B132" s="162" t="s">
        <v>427</v>
      </c>
      <c r="C132" s="222"/>
      <c r="D132" s="222">
        <v>160</v>
      </c>
      <c r="E132" s="222">
        <f t="shared" si="2"/>
        <v>160</v>
      </c>
      <c r="F132" s="296"/>
    </row>
    <row r="133" spans="1:6" s="208" customFormat="1" ht="18.75">
      <c r="A133" s="161">
        <v>10</v>
      </c>
      <c r="B133" s="162" t="s">
        <v>452</v>
      </c>
      <c r="C133" s="222">
        <f>C134</f>
        <v>0</v>
      </c>
      <c r="D133" s="222">
        <f>D134</f>
        <v>8491</v>
      </c>
      <c r="E133" s="222">
        <f t="shared" si="2"/>
        <v>8491</v>
      </c>
      <c r="F133" s="296"/>
    </row>
    <row r="134" spans="1:6" s="208" customFormat="1" ht="18.75">
      <c r="A134" s="547" t="s">
        <v>19</v>
      </c>
      <c r="B134" s="162" t="s">
        <v>407</v>
      </c>
      <c r="C134" s="222"/>
      <c r="D134" s="222">
        <v>8491</v>
      </c>
      <c r="E134" s="222">
        <f t="shared" si="2"/>
        <v>8491</v>
      </c>
      <c r="F134" s="296"/>
    </row>
    <row r="135" spans="1:6" s="208" customFormat="1" ht="56.25">
      <c r="A135" s="161">
        <v>11</v>
      </c>
      <c r="B135" s="162" t="s">
        <v>453</v>
      </c>
      <c r="C135" s="222">
        <f>C136</f>
        <v>0</v>
      </c>
      <c r="D135" s="222">
        <f>D136</f>
        <v>6000</v>
      </c>
      <c r="E135" s="222">
        <f t="shared" si="2"/>
        <v>6000</v>
      </c>
      <c r="F135" s="296"/>
    </row>
    <row r="136" spans="1:6" s="208" customFormat="1" ht="18.75">
      <c r="A136" s="547" t="s">
        <v>19</v>
      </c>
      <c r="B136" s="162" t="s">
        <v>454</v>
      </c>
      <c r="C136" s="222"/>
      <c r="D136" s="222">
        <v>6000</v>
      </c>
      <c r="E136" s="222">
        <f t="shared" si="2"/>
        <v>6000</v>
      </c>
      <c r="F136" s="296"/>
    </row>
    <row r="137" spans="1:6" s="208" customFormat="1" ht="26.25" customHeight="1">
      <c r="A137" s="225" t="s">
        <v>75</v>
      </c>
      <c r="B137" s="224" t="s">
        <v>310</v>
      </c>
      <c r="C137" s="222"/>
      <c r="D137" s="222"/>
      <c r="E137" s="222"/>
      <c r="F137" s="222"/>
    </row>
    <row r="138" spans="1:6" ht="15.95" customHeight="1">
      <c r="A138" s="297"/>
      <c r="B138" s="220"/>
      <c r="C138" s="220"/>
      <c r="D138" s="220"/>
      <c r="E138" s="220"/>
      <c r="F138" s="220"/>
    </row>
    <row r="139" spans="1:6" ht="30.75" customHeight="1">
      <c r="A139" s="1046" t="s">
        <v>773</v>
      </c>
      <c r="B139" s="1046"/>
      <c r="C139" s="1046"/>
      <c r="D139" s="1046"/>
      <c r="E139" s="1046"/>
      <c r="F139" s="1046"/>
    </row>
    <row r="140" spans="1:6" ht="35.25" customHeight="1">
      <c r="A140" s="298"/>
      <c r="B140" s="1046" t="s">
        <v>774</v>
      </c>
      <c r="C140" s="1046"/>
      <c r="D140" s="1046"/>
      <c r="E140" s="1046"/>
      <c r="F140" s="1046"/>
    </row>
    <row r="141" spans="1:6" ht="20.25" customHeight="1">
      <c r="A141" s="298"/>
      <c r="B141" s="1046" t="s">
        <v>775</v>
      </c>
      <c r="C141" s="1046"/>
      <c r="D141" s="1046"/>
      <c r="E141" s="1046"/>
      <c r="F141" s="1046"/>
    </row>
    <row r="142" spans="1:6" ht="20.25" customHeight="1">
      <c r="A142" s="218"/>
      <c r="B142" s="1050" t="s">
        <v>776</v>
      </c>
      <c r="C142" s="1050"/>
      <c r="D142" s="1050"/>
      <c r="E142" s="1050"/>
      <c r="F142" s="1050"/>
    </row>
    <row r="143" spans="1:6" ht="20.25" customHeight="1">
      <c r="A143" s="218"/>
      <c r="B143" s="1050" t="s">
        <v>777</v>
      </c>
      <c r="C143" s="1050"/>
      <c r="D143" s="1050"/>
      <c r="E143" s="1050"/>
      <c r="F143" s="1050"/>
    </row>
    <row r="144" spans="1:6" ht="44.25" customHeight="1">
      <c r="B144" s="1046" t="s">
        <v>778</v>
      </c>
      <c r="C144" s="1046"/>
      <c r="D144" s="1046"/>
      <c r="E144" s="1046"/>
      <c r="F144" s="1046"/>
    </row>
    <row r="145" spans="1:4" ht="18.75">
      <c r="A145" s="208"/>
      <c r="B145" s="208"/>
      <c r="C145" s="208"/>
      <c r="D145" s="208"/>
    </row>
    <row r="146" spans="1:4" ht="18.75">
      <c r="A146" s="208"/>
      <c r="B146" s="208"/>
      <c r="C146" s="208"/>
      <c r="D146" s="208"/>
    </row>
    <row r="147" spans="1:4" ht="18.75">
      <c r="A147" s="208"/>
      <c r="B147" s="208"/>
      <c r="C147" s="208"/>
      <c r="D147" s="208"/>
    </row>
  </sheetData>
  <mergeCells count="17">
    <mergeCell ref="B144:F144"/>
    <mergeCell ref="F6:F7"/>
    <mergeCell ref="A139:F139"/>
    <mergeCell ref="B140:F140"/>
    <mergeCell ref="B141:F141"/>
    <mergeCell ref="B142:F142"/>
    <mergeCell ref="B143:F143"/>
    <mergeCell ref="E1:F1"/>
    <mergeCell ref="A2:F2"/>
    <mergeCell ref="A3:F3"/>
    <mergeCell ref="D4:F4"/>
    <mergeCell ref="A5:A7"/>
    <mergeCell ref="B5:B7"/>
    <mergeCell ref="C5:C7"/>
    <mergeCell ref="D5:D7"/>
    <mergeCell ref="E5:F5"/>
    <mergeCell ref="E6:E7"/>
  </mergeCells>
  <printOptions horizontalCentered="1"/>
  <pageMargins left="0.59" right="0.36" top="0.57999999999999996" bottom="0.47" header="0.17" footer="0.25"/>
  <pageSetup paperSize="9" scale="75" fitToHeight="0" orientation="portrait" r:id="rId1"/>
  <headerFooter alignWithMargins="0">
    <oddHeader xml:space="preserve">&amp;C                                                                                                                                  </oddHeader>
    <oddFooter>&amp;C&amp;".VnTime,  Italic"&amp;8
&amp;".VnTime,Regular"&amp;12&amp;P/&amp;N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IU88"/>
  <sheetViews>
    <sheetView workbookViewId="0">
      <pane xSplit="2" ySplit="10" topLeftCell="C42" activePane="bottomRight" state="frozen"/>
      <selection pane="topRight" activeCell="C1" sqref="C1"/>
      <selection pane="bottomLeft" activeCell="A11" sqref="A11"/>
      <selection pane="bottomRight" activeCell="C51" sqref="C51"/>
    </sheetView>
  </sheetViews>
  <sheetFormatPr defaultRowHeight="16.5" outlineLevelRow="1"/>
  <cols>
    <col min="1" max="1" width="6.42578125" style="939" customWidth="1"/>
    <col min="2" max="2" width="49" style="939" customWidth="1"/>
    <col min="3" max="3" width="18.85546875" style="939" customWidth="1"/>
    <col min="4" max="4" width="18.28515625" style="939" customWidth="1"/>
    <col min="5" max="5" width="17.5703125" style="939" customWidth="1"/>
    <col min="6" max="6" width="9.85546875" style="939" bestFit="1" customWidth="1"/>
    <col min="7" max="256" width="9.140625" style="939"/>
    <col min="257" max="257" width="6.42578125" style="939" customWidth="1"/>
    <col min="258" max="258" width="49" style="939" customWidth="1"/>
    <col min="259" max="259" width="18.85546875" style="939" customWidth="1"/>
    <col min="260" max="260" width="18.28515625" style="939" customWidth="1"/>
    <col min="261" max="261" width="17.5703125" style="939" customWidth="1"/>
    <col min="262" max="512" width="9.140625" style="939"/>
    <col min="513" max="513" width="6.42578125" style="939" customWidth="1"/>
    <col min="514" max="514" width="49" style="939" customWidth="1"/>
    <col min="515" max="515" width="18.85546875" style="939" customWidth="1"/>
    <col min="516" max="516" width="18.28515625" style="939" customWidth="1"/>
    <col min="517" max="517" width="17.5703125" style="939" customWidth="1"/>
    <col min="518" max="768" width="9.140625" style="939"/>
    <col min="769" max="769" width="6.42578125" style="939" customWidth="1"/>
    <col min="770" max="770" width="49" style="939" customWidth="1"/>
    <col min="771" max="771" width="18.85546875" style="939" customWidth="1"/>
    <col min="772" max="772" width="18.28515625" style="939" customWidth="1"/>
    <col min="773" max="773" width="17.5703125" style="939" customWidth="1"/>
    <col min="774" max="1024" width="9.140625" style="939"/>
    <col min="1025" max="1025" width="6.42578125" style="939" customWidth="1"/>
    <col min="1026" max="1026" width="49" style="939" customWidth="1"/>
    <col min="1027" max="1027" width="18.85546875" style="939" customWidth="1"/>
    <col min="1028" max="1028" width="18.28515625" style="939" customWidth="1"/>
    <col min="1029" max="1029" width="17.5703125" style="939" customWidth="1"/>
    <col min="1030" max="1280" width="9.140625" style="939"/>
    <col min="1281" max="1281" width="6.42578125" style="939" customWidth="1"/>
    <col min="1282" max="1282" width="49" style="939" customWidth="1"/>
    <col min="1283" max="1283" width="18.85546875" style="939" customWidth="1"/>
    <col min="1284" max="1284" width="18.28515625" style="939" customWidth="1"/>
    <col min="1285" max="1285" width="17.5703125" style="939" customWidth="1"/>
    <col min="1286" max="1536" width="9.140625" style="939"/>
    <col min="1537" max="1537" width="6.42578125" style="939" customWidth="1"/>
    <col min="1538" max="1538" width="49" style="939" customWidth="1"/>
    <col min="1539" max="1539" width="18.85546875" style="939" customWidth="1"/>
    <col min="1540" max="1540" width="18.28515625" style="939" customWidth="1"/>
    <col min="1541" max="1541" width="17.5703125" style="939" customWidth="1"/>
    <col min="1542" max="1792" width="9.140625" style="939"/>
    <col min="1793" max="1793" width="6.42578125" style="939" customWidth="1"/>
    <col min="1794" max="1794" width="49" style="939" customWidth="1"/>
    <col min="1795" max="1795" width="18.85546875" style="939" customWidth="1"/>
    <col min="1796" max="1796" width="18.28515625" style="939" customWidth="1"/>
    <col min="1797" max="1797" width="17.5703125" style="939" customWidth="1"/>
    <col min="1798" max="2048" width="9.140625" style="939"/>
    <col min="2049" max="2049" width="6.42578125" style="939" customWidth="1"/>
    <col min="2050" max="2050" width="49" style="939" customWidth="1"/>
    <col min="2051" max="2051" width="18.85546875" style="939" customWidth="1"/>
    <col min="2052" max="2052" width="18.28515625" style="939" customWidth="1"/>
    <col min="2053" max="2053" width="17.5703125" style="939" customWidth="1"/>
    <col min="2054" max="2304" width="9.140625" style="939"/>
    <col min="2305" max="2305" width="6.42578125" style="939" customWidth="1"/>
    <col min="2306" max="2306" width="49" style="939" customWidth="1"/>
    <col min="2307" max="2307" width="18.85546875" style="939" customWidth="1"/>
    <col min="2308" max="2308" width="18.28515625" style="939" customWidth="1"/>
    <col min="2309" max="2309" width="17.5703125" style="939" customWidth="1"/>
    <col min="2310" max="2560" width="9.140625" style="939"/>
    <col min="2561" max="2561" width="6.42578125" style="939" customWidth="1"/>
    <col min="2562" max="2562" width="49" style="939" customWidth="1"/>
    <col min="2563" max="2563" width="18.85546875" style="939" customWidth="1"/>
    <col min="2564" max="2564" width="18.28515625" style="939" customWidth="1"/>
    <col min="2565" max="2565" width="17.5703125" style="939" customWidth="1"/>
    <col min="2566" max="2816" width="9.140625" style="939"/>
    <col min="2817" max="2817" width="6.42578125" style="939" customWidth="1"/>
    <col min="2818" max="2818" width="49" style="939" customWidth="1"/>
    <col min="2819" max="2819" width="18.85546875" style="939" customWidth="1"/>
    <col min="2820" max="2820" width="18.28515625" style="939" customWidth="1"/>
    <col min="2821" max="2821" width="17.5703125" style="939" customWidth="1"/>
    <col min="2822" max="3072" width="9.140625" style="939"/>
    <col min="3073" max="3073" width="6.42578125" style="939" customWidth="1"/>
    <col min="3074" max="3074" width="49" style="939" customWidth="1"/>
    <col min="3075" max="3075" width="18.85546875" style="939" customWidth="1"/>
    <col min="3076" max="3076" width="18.28515625" style="939" customWidth="1"/>
    <col min="3077" max="3077" width="17.5703125" style="939" customWidth="1"/>
    <col min="3078" max="3328" width="9.140625" style="939"/>
    <col min="3329" max="3329" width="6.42578125" style="939" customWidth="1"/>
    <col min="3330" max="3330" width="49" style="939" customWidth="1"/>
    <col min="3331" max="3331" width="18.85546875" style="939" customWidth="1"/>
    <col min="3332" max="3332" width="18.28515625" style="939" customWidth="1"/>
    <col min="3333" max="3333" width="17.5703125" style="939" customWidth="1"/>
    <col min="3334" max="3584" width="9.140625" style="939"/>
    <col min="3585" max="3585" width="6.42578125" style="939" customWidth="1"/>
    <col min="3586" max="3586" width="49" style="939" customWidth="1"/>
    <col min="3587" max="3587" width="18.85546875" style="939" customWidth="1"/>
    <col min="3588" max="3588" width="18.28515625" style="939" customWidth="1"/>
    <col min="3589" max="3589" width="17.5703125" style="939" customWidth="1"/>
    <col min="3590" max="3840" width="9.140625" style="939"/>
    <col min="3841" max="3841" width="6.42578125" style="939" customWidth="1"/>
    <col min="3842" max="3842" width="49" style="939" customWidth="1"/>
    <col min="3843" max="3843" width="18.85546875" style="939" customWidth="1"/>
    <col min="3844" max="3844" width="18.28515625" style="939" customWidth="1"/>
    <col min="3845" max="3845" width="17.5703125" style="939" customWidth="1"/>
    <col min="3846" max="4096" width="9.140625" style="939"/>
    <col min="4097" max="4097" width="6.42578125" style="939" customWidth="1"/>
    <col min="4098" max="4098" width="49" style="939" customWidth="1"/>
    <col min="4099" max="4099" width="18.85546875" style="939" customWidth="1"/>
    <col min="4100" max="4100" width="18.28515625" style="939" customWidth="1"/>
    <col min="4101" max="4101" width="17.5703125" style="939" customWidth="1"/>
    <col min="4102" max="4352" width="9.140625" style="939"/>
    <col min="4353" max="4353" width="6.42578125" style="939" customWidth="1"/>
    <col min="4354" max="4354" width="49" style="939" customWidth="1"/>
    <col min="4355" max="4355" width="18.85546875" style="939" customWidth="1"/>
    <col min="4356" max="4356" width="18.28515625" style="939" customWidth="1"/>
    <col min="4357" max="4357" width="17.5703125" style="939" customWidth="1"/>
    <col min="4358" max="4608" width="9.140625" style="939"/>
    <col min="4609" max="4609" width="6.42578125" style="939" customWidth="1"/>
    <col min="4610" max="4610" width="49" style="939" customWidth="1"/>
    <col min="4611" max="4611" width="18.85546875" style="939" customWidth="1"/>
    <col min="4612" max="4612" width="18.28515625" style="939" customWidth="1"/>
    <col min="4613" max="4613" width="17.5703125" style="939" customWidth="1"/>
    <col min="4614" max="4864" width="9.140625" style="939"/>
    <col min="4865" max="4865" width="6.42578125" style="939" customWidth="1"/>
    <col min="4866" max="4866" width="49" style="939" customWidth="1"/>
    <col min="4867" max="4867" width="18.85546875" style="939" customWidth="1"/>
    <col min="4868" max="4868" width="18.28515625" style="939" customWidth="1"/>
    <col min="4869" max="4869" width="17.5703125" style="939" customWidth="1"/>
    <col min="4870" max="5120" width="9.140625" style="939"/>
    <col min="5121" max="5121" width="6.42578125" style="939" customWidth="1"/>
    <col min="5122" max="5122" width="49" style="939" customWidth="1"/>
    <col min="5123" max="5123" width="18.85546875" style="939" customWidth="1"/>
    <col min="5124" max="5124" width="18.28515625" style="939" customWidth="1"/>
    <col min="5125" max="5125" width="17.5703125" style="939" customWidth="1"/>
    <col min="5126" max="5376" width="9.140625" style="939"/>
    <col min="5377" max="5377" width="6.42578125" style="939" customWidth="1"/>
    <col min="5378" max="5378" width="49" style="939" customWidth="1"/>
    <col min="5379" max="5379" width="18.85546875" style="939" customWidth="1"/>
    <col min="5380" max="5380" width="18.28515625" style="939" customWidth="1"/>
    <col min="5381" max="5381" width="17.5703125" style="939" customWidth="1"/>
    <col min="5382" max="5632" width="9.140625" style="939"/>
    <col min="5633" max="5633" width="6.42578125" style="939" customWidth="1"/>
    <col min="5634" max="5634" width="49" style="939" customWidth="1"/>
    <col min="5635" max="5635" width="18.85546875" style="939" customWidth="1"/>
    <col min="5636" max="5636" width="18.28515625" style="939" customWidth="1"/>
    <col min="5637" max="5637" width="17.5703125" style="939" customWidth="1"/>
    <col min="5638" max="5888" width="9.140625" style="939"/>
    <col min="5889" max="5889" width="6.42578125" style="939" customWidth="1"/>
    <col min="5890" max="5890" width="49" style="939" customWidth="1"/>
    <col min="5891" max="5891" width="18.85546875" style="939" customWidth="1"/>
    <col min="5892" max="5892" width="18.28515625" style="939" customWidth="1"/>
    <col min="5893" max="5893" width="17.5703125" style="939" customWidth="1"/>
    <col min="5894" max="6144" width="9.140625" style="939"/>
    <col min="6145" max="6145" width="6.42578125" style="939" customWidth="1"/>
    <col min="6146" max="6146" width="49" style="939" customWidth="1"/>
    <col min="6147" max="6147" width="18.85546875" style="939" customWidth="1"/>
    <col min="6148" max="6148" width="18.28515625" style="939" customWidth="1"/>
    <col min="6149" max="6149" width="17.5703125" style="939" customWidth="1"/>
    <col min="6150" max="6400" width="9.140625" style="939"/>
    <col min="6401" max="6401" width="6.42578125" style="939" customWidth="1"/>
    <col min="6402" max="6402" width="49" style="939" customWidth="1"/>
    <col min="6403" max="6403" width="18.85546875" style="939" customWidth="1"/>
    <col min="6404" max="6404" width="18.28515625" style="939" customWidth="1"/>
    <col min="6405" max="6405" width="17.5703125" style="939" customWidth="1"/>
    <col min="6406" max="6656" width="9.140625" style="939"/>
    <col min="6657" max="6657" width="6.42578125" style="939" customWidth="1"/>
    <col min="6658" max="6658" width="49" style="939" customWidth="1"/>
    <col min="6659" max="6659" width="18.85546875" style="939" customWidth="1"/>
    <col min="6660" max="6660" width="18.28515625" style="939" customWidth="1"/>
    <col min="6661" max="6661" width="17.5703125" style="939" customWidth="1"/>
    <col min="6662" max="6912" width="9.140625" style="939"/>
    <col min="6913" max="6913" width="6.42578125" style="939" customWidth="1"/>
    <col min="6914" max="6914" width="49" style="939" customWidth="1"/>
    <col min="6915" max="6915" width="18.85546875" style="939" customWidth="1"/>
    <col min="6916" max="6916" width="18.28515625" style="939" customWidth="1"/>
    <col min="6917" max="6917" width="17.5703125" style="939" customWidth="1"/>
    <col min="6918" max="7168" width="9.140625" style="939"/>
    <col min="7169" max="7169" width="6.42578125" style="939" customWidth="1"/>
    <col min="7170" max="7170" width="49" style="939" customWidth="1"/>
    <col min="7171" max="7171" width="18.85546875" style="939" customWidth="1"/>
    <col min="7172" max="7172" width="18.28515625" style="939" customWidth="1"/>
    <col min="7173" max="7173" width="17.5703125" style="939" customWidth="1"/>
    <col min="7174" max="7424" width="9.140625" style="939"/>
    <col min="7425" max="7425" width="6.42578125" style="939" customWidth="1"/>
    <col min="7426" max="7426" width="49" style="939" customWidth="1"/>
    <col min="7427" max="7427" width="18.85546875" style="939" customWidth="1"/>
    <col min="7428" max="7428" width="18.28515625" style="939" customWidth="1"/>
    <col min="7429" max="7429" width="17.5703125" style="939" customWidth="1"/>
    <col min="7430" max="7680" width="9.140625" style="939"/>
    <col min="7681" max="7681" width="6.42578125" style="939" customWidth="1"/>
    <col min="7682" max="7682" width="49" style="939" customWidth="1"/>
    <col min="7683" max="7683" width="18.85546875" style="939" customWidth="1"/>
    <col min="7684" max="7684" width="18.28515625" style="939" customWidth="1"/>
    <col min="7685" max="7685" width="17.5703125" style="939" customWidth="1"/>
    <col min="7686" max="7936" width="9.140625" style="939"/>
    <col min="7937" max="7937" width="6.42578125" style="939" customWidth="1"/>
    <col min="7938" max="7938" width="49" style="939" customWidth="1"/>
    <col min="7939" max="7939" width="18.85546875" style="939" customWidth="1"/>
    <col min="7940" max="7940" width="18.28515625" style="939" customWidth="1"/>
    <col min="7941" max="7941" width="17.5703125" style="939" customWidth="1"/>
    <col min="7942" max="8192" width="9.140625" style="939"/>
    <col min="8193" max="8193" width="6.42578125" style="939" customWidth="1"/>
    <col min="8194" max="8194" width="49" style="939" customWidth="1"/>
    <col min="8195" max="8195" width="18.85546875" style="939" customWidth="1"/>
    <col min="8196" max="8196" width="18.28515625" style="939" customWidth="1"/>
    <col min="8197" max="8197" width="17.5703125" style="939" customWidth="1"/>
    <col min="8198" max="8448" width="9.140625" style="939"/>
    <col min="8449" max="8449" width="6.42578125" style="939" customWidth="1"/>
    <col min="8450" max="8450" width="49" style="939" customWidth="1"/>
    <col min="8451" max="8451" width="18.85546875" style="939" customWidth="1"/>
    <col min="8452" max="8452" width="18.28515625" style="939" customWidth="1"/>
    <col min="8453" max="8453" width="17.5703125" style="939" customWidth="1"/>
    <col min="8454" max="8704" width="9.140625" style="939"/>
    <col min="8705" max="8705" width="6.42578125" style="939" customWidth="1"/>
    <col min="8706" max="8706" width="49" style="939" customWidth="1"/>
    <col min="8707" max="8707" width="18.85546875" style="939" customWidth="1"/>
    <col min="8708" max="8708" width="18.28515625" style="939" customWidth="1"/>
    <col min="8709" max="8709" width="17.5703125" style="939" customWidth="1"/>
    <col min="8710" max="8960" width="9.140625" style="939"/>
    <col min="8961" max="8961" width="6.42578125" style="939" customWidth="1"/>
    <col min="8962" max="8962" width="49" style="939" customWidth="1"/>
    <col min="8963" max="8963" width="18.85546875" style="939" customWidth="1"/>
    <col min="8964" max="8964" width="18.28515625" style="939" customWidth="1"/>
    <col min="8965" max="8965" width="17.5703125" style="939" customWidth="1"/>
    <col min="8966" max="9216" width="9.140625" style="939"/>
    <col min="9217" max="9217" width="6.42578125" style="939" customWidth="1"/>
    <col min="9218" max="9218" width="49" style="939" customWidth="1"/>
    <col min="9219" max="9219" width="18.85546875" style="939" customWidth="1"/>
    <col min="9220" max="9220" width="18.28515625" style="939" customWidth="1"/>
    <col min="9221" max="9221" width="17.5703125" style="939" customWidth="1"/>
    <col min="9222" max="9472" width="9.140625" style="939"/>
    <col min="9473" max="9473" width="6.42578125" style="939" customWidth="1"/>
    <col min="9474" max="9474" width="49" style="939" customWidth="1"/>
    <col min="9475" max="9475" width="18.85546875" style="939" customWidth="1"/>
    <col min="9476" max="9476" width="18.28515625" style="939" customWidth="1"/>
    <col min="9477" max="9477" width="17.5703125" style="939" customWidth="1"/>
    <col min="9478" max="9728" width="9.140625" style="939"/>
    <col min="9729" max="9729" width="6.42578125" style="939" customWidth="1"/>
    <col min="9730" max="9730" width="49" style="939" customWidth="1"/>
    <col min="9731" max="9731" width="18.85546875" style="939" customWidth="1"/>
    <col min="9732" max="9732" width="18.28515625" style="939" customWidth="1"/>
    <col min="9733" max="9733" width="17.5703125" style="939" customWidth="1"/>
    <col min="9734" max="9984" width="9.140625" style="939"/>
    <col min="9985" max="9985" width="6.42578125" style="939" customWidth="1"/>
    <col min="9986" max="9986" width="49" style="939" customWidth="1"/>
    <col min="9987" max="9987" width="18.85546875" style="939" customWidth="1"/>
    <col min="9988" max="9988" width="18.28515625" style="939" customWidth="1"/>
    <col min="9989" max="9989" width="17.5703125" style="939" customWidth="1"/>
    <col min="9990" max="10240" width="9.140625" style="939"/>
    <col min="10241" max="10241" width="6.42578125" style="939" customWidth="1"/>
    <col min="10242" max="10242" width="49" style="939" customWidth="1"/>
    <col min="10243" max="10243" width="18.85546875" style="939" customWidth="1"/>
    <col min="10244" max="10244" width="18.28515625" style="939" customWidth="1"/>
    <col min="10245" max="10245" width="17.5703125" style="939" customWidth="1"/>
    <col min="10246" max="10496" width="9.140625" style="939"/>
    <col min="10497" max="10497" width="6.42578125" style="939" customWidth="1"/>
    <col min="10498" max="10498" width="49" style="939" customWidth="1"/>
    <col min="10499" max="10499" width="18.85546875" style="939" customWidth="1"/>
    <col min="10500" max="10500" width="18.28515625" style="939" customWidth="1"/>
    <col min="10501" max="10501" width="17.5703125" style="939" customWidth="1"/>
    <col min="10502" max="10752" width="9.140625" style="939"/>
    <col min="10753" max="10753" width="6.42578125" style="939" customWidth="1"/>
    <col min="10754" max="10754" width="49" style="939" customWidth="1"/>
    <col min="10755" max="10755" width="18.85546875" style="939" customWidth="1"/>
    <col min="10756" max="10756" width="18.28515625" style="939" customWidth="1"/>
    <col min="10757" max="10757" width="17.5703125" style="939" customWidth="1"/>
    <col min="10758" max="11008" width="9.140625" style="939"/>
    <col min="11009" max="11009" width="6.42578125" style="939" customWidth="1"/>
    <col min="11010" max="11010" width="49" style="939" customWidth="1"/>
    <col min="11011" max="11011" width="18.85546875" style="939" customWidth="1"/>
    <col min="11012" max="11012" width="18.28515625" style="939" customWidth="1"/>
    <col min="11013" max="11013" width="17.5703125" style="939" customWidth="1"/>
    <col min="11014" max="11264" width="9.140625" style="939"/>
    <col min="11265" max="11265" width="6.42578125" style="939" customWidth="1"/>
    <col min="11266" max="11266" width="49" style="939" customWidth="1"/>
    <col min="11267" max="11267" width="18.85546875" style="939" customWidth="1"/>
    <col min="11268" max="11268" width="18.28515625" style="939" customWidth="1"/>
    <col min="11269" max="11269" width="17.5703125" style="939" customWidth="1"/>
    <col min="11270" max="11520" width="9.140625" style="939"/>
    <col min="11521" max="11521" width="6.42578125" style="939" customWidth="1"/>
    <col min="11522" max="11522" width="49" style="939" customWidth="1"/>
    <col min="11523" max="11523" width="18.85546875" style="939" customWidth="1"/>
    <col min="11524" max="11524" width="18.28515625" style="939" customWidth="1"/>
    <col min="11525" max="11525" width="17.5703125" style="939" customWidth="1"/>
    <col min="11526" max="11776" width="9.140625" style="939"/>
    <col min="11777" max="11777" width="6.42578125" style="939" customWidth="1"/>
    <col min="11778" max="11778" width="49" style="939" customWidth="1"/>
    <col min="11779" max="11779" width="18.85546875" style="939" customWidth="1"/>
    <col min="11780" max="11780" width="18.28515625" style="939" customWidth="1"/>
    <col min="11781" max="11781" width="17.5703125" style="939" customWidth="1"/>
    <col min="11782" max="12032" width="9.140625" style="939"/>
    <col min="12033" max="12033" width="6.42578125" style="939" customWidth="1"/>
    <col min="12034" max="12034" width="49" style="939" customWidth="1"/>
    <col min="12035" max="12035" width="18.85546875" style="939" customWidth="1"/>
    <col min="12036" max="12036" width="18.28515625" style="939" customWidth="1"/>
    <col min="12037" max="12037" width="17.5703125" style="939" customWidth="1"/>
    <col min="12038" max="12288" width="9.140625" style="939"/>
    <col min="12289" max="12289" width="6.42578125" style="939" customWidth="1"/>
    <col min="12290" max="12290" width="49" style="939" customWidth="1"/>
    <col min="12291" max="12291" width="18.85546875" style="939" customWidth="1"/>
    <col min="12292" max="12292" width="18.28515625" style="939" customWidth="1"/>
    <col min="12293" max="12293" width="17.5703125" style="939" customWidth="1"/>
    <col min="12294" max="12544" width="9.140625" style="939"/>
    <col min="12545" max="12545" width="6.42578125" style="939" customWidth="1"/>
    <col min="12546" max="12546" width="49" style="939" customWidth="1"/>
    <col min="12547" max="12547" width="18.85546875" style="939" customWidth="1"/>
    <col min="12548" max="12548" width="18.28515625" style="939" customWidth="1"/>
    <col min="12549" max="12549" width="17.5703125" style="939" customWidth="1"/>
    <col min="12550" max="12800" width="9.140625" style="939"/>
    <col min="12801" max="12801" width="6.42578125" style="939" customWidth="1"/>
    <col min="12802" max="12802" width="49" style="939" customWidth="1"/>
    <col min="12803" max="12803" width="18.85546875" style="939" customWidth="1"/>
    <col min="12804" max="12804" width="18.28515625" style="939" customWidth="1"/>
    <col min="12805" max="12805" width="17.5703125" style="939" customWidth="1"/>
    <col min="12806" max="13056" width="9.140625" style="939"/>
    <col min="13057" max="13057" width="6.42578125" style="939" customWidth="1"/>
    <col min="13058" max="13058" width="49" style="939" customWidth="1"/>
    <col min="13059" max="13059" width="18.85546875" style="939" customWidth="1"/>
    <col min="13060" max="13060" width="18.28515625" style="939" customWidth="1"/>
    <col min="13061" max="13061" width="17.5703125" style="939" customWidth="1"/>
    <col min="13062" max="13312" width="9.140625" style="939"/>
    <col min="13313" max="13313" width="6.42578125" style="939" customWidth="1"/>
    <col min="13314" max="13314" width="49" style="939" customWidth="1"/>
    <col min="13315" max="13315" width="18.85546875" style="939" customWidth="1"/>
    <col min="13316" max="13316" width="18.28515625" style="939" customWidth="1"/>
    <col min="13317" max="13317" width="17.5703125" style="939" customWidth="1"/>
    <col min="13318" max="13568" width="9.140625" style="939"/>
    <col min="13569" max="13569" width="6.42578125" style="939" customWidth="1"/>
    <col min="13570" max="13570" width="49" style="939" customWidth="1"/>
    <col min="13571" max="13571" width="18.85546875" style="939" customWidth="1"/>
    <col min="13572" max="13572" width="18.28515625" style="939" customWidth="1"/>
    <col min="13573" max="13573" width="17.5703125" style="939" customWidth="1"/>
    <col min="13574" max="13824" width="9.140625" style="939"/>
    <col min="13825" max="13825" width="6.42578125" style="939" customWidth="1"/>
    <col min="13826" max="13826" width="49" style="939" customWidth="1"/>
    <col min="13827" max="13827" width="18.85546875" style="939" customWidth="1"/>
    <col min="13828" max="13828" width="18.28515625" style="939" customWidth="1"/>
    <col min="13829" max="13829" width="17.5703125" style="939" customWidth="1"/>
    <col min="13830" max="14080" width="9.140625" style="939"/>
    <col min="14081" max="14081" width="6.42578125" style="939" customWidth="1"/>
    <col min="14082" max="14082" width="49" style="939" customWidth="1"/>
    <col min="14083" max="14083" width="18.85546875" style="939" customWidth="1"/>
    <col min="14084" max="14084" width="18.28515625" style="939" customWidth="1"/>
    <col min="14085" max="14085" width="17.5703125" style="939" customWidth="1"/>
    <col min="14086" max="14336" width="9.140625" style="939"/>
    <col min="14337" max="14337" width="6.42578125" style="939" customWidth="1"/>
    <col min="14338" max="14338" width="49" style="939" customWidth="1"/>
    <col min="14339" max="14339" width="18.85546875" style="939" customWidth="1"/>
    <col min="14340" max="14340" width="18.28515625" style="939" customWidth="1"/>
    <col min="14341" max="14341" width="17.5703125" style="939" customWidth="1"/>
    <col min="14342" max="14592" width="9.140625" style="939"/>
    <col min="14593" max="14593" width="6.42578125" style="939" customWidth="1"/>
    <col min="14594" max="14594" width="49" style="939" customWidth="1"/>
    <col min="14595" max="14595" width="18.85546875" style="939" customWidth="1"/>
    <col min="14596" max="14596" width="18.28515625" style="939" customWidth="1"/>
    <col min="14597" max="14597" width="17.5703125" style="939" customWidth="1"/>
    <col min="14598" max="14848" width="9.140625" style="939"/>
    <col min="14849" max="14849" width="6.42578125" style="939" customWidth="1"/>
    <col min="14850" max="14850" width="49" style="939" customWidth="1"/>
    <col min="14851" max="14851" width="18.85546875" style="939" customWidth="1"/>
    <col min="14852" max="14852" width="18.28515625" style="939" customWidth="1"/>
    <col min="14853" max="14853" width="17.5703125" style="939" customWidth="1"/>
    <col min="14854" max="15104" width="9.140625" style="939"/>
    <col min="15105" max="15105" width="6.42578125" style="939" customWidth="1"/>
    <col min="15106" max="15106" width="49" style="939" customWidth="1"/>
    <col min="15107" max="15107" width="18.85546875" style="939" customWidth="1"/>
    <col min="15108" max="15108" width="18.28515625" style="939" customWidth="1"/>
    <col min="15109" max="15109" width="17.5703125" style="939" customWidth="1"/>
    <col min="15110" max="15360" width="9.140625" style="939"/>
    <col min="15361" max="15361" width="6.42578125" style="939" customWidth="1"/>
    <col min="15362" max="15362" width="49" style="939" customWidth="1"/>
    <col min="15363" max="15363" width="18.85546875" style="939" customWidth="1"/>
    <col min="15364" max="15364" width="18.28515625" style="939" customWidth="1"/>
    <col min="15365" max="15365" width="17.5703125" style="939" customWidth="1"/>
    <col min="15366" max="15616" width="9.140625" style="939"/>
    <col min="15617" max="15617" width="6.42578125" style="939" customWidth="1"/>
    <col min="15618" max="15618" width="49" style="939" customWidth="1"/>
    <col min="15619" max="15619" width="18.85546875" style="939" customWidth="1"/>
    <col min="15620" max="15620" width="18.28515625" style="939" customWidth="1"/>
    <col min="15621" max="15621" width="17.5703125" style="939" customWidth="1"/>
    <col min="15622" max="15872" width="9.140625" style="939"/>
    <col min="15873" max="15873" width="6.42578125" style="939" customWidth="1"/>
    <col min="15874" max="15874" width="49" style="939" customWidth="1"/>
    <col min="15875" max="15875" width="18.85546875" style="939" customWidth="1"/>
    <col min="15876" max="15876" width="18.28515625" style="939" customWidth="1"/>
    <col min="15877" max="15877" width="17.5703125" style="939" customWidth="1"/>
    <col min="15878" max="16128" width="9.140625" style="939"/>
    <col min="16129" max="16129" width="6.42578125" style="939" customWidth="1"/>
    <col min="16130" max="16130" width="49" style="939" customWidth="1"/>
    <col min="16131" max="16131" width="18.85546875" style="939" customWidth="1"/>
    <col min="16132" max="16132" width="18.28515625" style="939" customWidth="1"/>
    <col min="16133" max="16133" width="17.5703125" style="939" customWidth="1"/>
    <col min="16134" max="16384" width="9.140625" style="939"/>
  </cols>
  <sheetData>
    <row r="1" spans="1:5">
      <c r="A1" s="938"/>
      <c r="B1" s="299"/>
      <c r="C1" s="300"/>
      <c r="D1" s="1053" t="s">
        <v>796</v>
      </c>
      <c r="E1" s="1053"/>
    </row>
    <row r="2" spans="1:5">
      <c r="A2" s="938"/>
      <c r="B2" s="938"/>
      <c r="C2" s="300"/>
      <c r="D2" s="300"/>
      <c r="E2" s="301"/>
    </row>
    <row r="3" spans="1:5">
      <c r="A3" s="1052" t="s">
        <v>797</v>
      </c>
      <c r="B3" s="1052"/>
      <c r="C3" s="1052"/>
      <c r="D3" s="1052"/>
      <c r="E3" s="1052"/>
    </row>
    <row r="4" spans="1:5">
      <c r="A4" s="1054" t="s">
        <v>1210</v>
      </c>
      <c r="B4" s="1054"/>
      <c r="C4" s="1054"/>
      <c r="D4" s="1054"/>
      <c r="E4" s="1054"/>
    </row>
    <row r="5" spans="1:5">
      <c r="A5" s="302"/>
      <c r="B5" s="302"/>
      <c r="C5" s="300"/>
      <c r="D5" s="300"/>
      <c r="E5" s="301"/>
    </row>
    <row r="6" spans="1:5">
      <c r="A6" s="303"/>
      <c r="B6" s="303"/>
      <c r="C6" s="301"/>
      <c r="D6" s="1055" t="s">
        <v>2</v>
      </c>
      <c r="E6" s="1055"/>
    </row>
    <row r="7" spans="1:5">
      <c r="A7" s="1056" t="s">
        <v>3</v>
      </c>
      <c r="B7" s="1057" t="s">
        <v>4</v>
      </c>
      <c r="C7" s="1057" t="s">
        <v>6</v>
      </c>
      <c r="D7" s="1057" t="s">
        <v>565</v>
      </c>
      <c r="E7" s="1056" t="s">
        <v>798</v>
      </c>
    </row>
    <row r="8" spans="1:5">
      <c r="A8" s="1056"/>
      <c r="B8" s="1057"/>
      <c r="C8" s="1057"/>
      <c r="D8" s="1057"/>
      <c r="E8" s="1056"/>
    </row>
    <row r="9" spans="1:5">
      <c r="A9" s="1056"/>
      <c r="B9" s="1057"/>
      <c r="C9" s="1057"/>
      <c r="D9" s="1057"/>
      <c r="E9" s="1056"/>
    </row>
    <row r="10" spans="1:5">
      <c r="A10" s="940" t="s">
        <v>10</v>
      </c>
      <c r="B10" s="940" t="s">
        <v>11</v>
      </c>
      <c r="C10" s="940">
        <v>1</v>
      </c>
      <c r="D10" s="940">
        <f>C10+1</f>
        <v>2</v>
      </c>
      <c r="E10" s="941" t="s">
        <v>12</v>
      </c>
    </row>
    <row r="11" spans="1:5">
      <c r="A11" s="942" t="s">
        <v>10</v>
      </c>
      <c r="B11" s="943" t="s">
        <v>799</v>
      </c>
      <c r="C11" s="944">
        <v>3748872.7208000002</v>
      </c>
      <c r="D11" s="944">
        <v>4130600</v>
      </c>
      <c r="E11" s="944">
        <f>D11-C11</f>
        <v>381727.27919999976</v>
      </c>
    </row>
    <row r="12" spans="1:5">
      <c r="A12" s="945" t="s">
        <v>11</v>
      </c>
      <c r="B12" s="946" t="s">
        <v>356</v>
      </c>
      <c r="C12" s="304">
        <v>6984699.8256069999</v>
      </c>
      <c r="D12" s="304">
        <v>8247861</v>
      </c>
      <c r="E12" s="304">
        <f>D12-C12</f>
        <v>1263161.1743930001</v>
      </c>
    </row>
    <row r="13" spans="1:5">
      <c r="A13" s="945" t="s">
        <v>75</v>
      </c>
      <c r="B13" s="946" t="s">
        <v>800</v>
      </c>
      <c r="C13" s="947">
        <v>8657</v>
      </c>
      <c r="D13" s="948">
        <v>7400</v>
      </c>
      <c r="E13" s="304">
        <f>D13-C13</f>
        <v>-1257</v>
      </c>
    </row>
    <row r="14" spans="1:5" ht="33">
      <c r="A14" s="945" t="s">
        <v>540</v>
      </c>
      <c r="B14" s="949" t="s">
        <v>801</v>
      </c>
      <c r="C14" s="304">
        <f>ROUND(C11*20%,-3)</f>
        <v>750000</v>
      </c>
      <c r="D14" s="304">
        <f>ROUND(D11*20%,-3)</f>
        <v>826000</v>
      </c>
      <c r="E14" s="305">
        <f>D14-C14</f>
        <v>76000</v>
      </c>
    </row>
    <row r="15" spans="1:5">
      <c r="A15" s="945" t="s">
        <v>544</v>
      </c>
      <c r="B15" s="946" t="s">
        <v>802</v>
      </c>
      <c r="C15" s="307"/>
      <c r="D15" s="307"/>
      <c r="E15" s="305"/>
    </row>
    <row r="16" spans="1:5">
      <c r="A16" s="945" t="s">
        <v>15</v>
      </c>
      <c r="B16" s="946" t="s">
        <v>803</v>
      </c>
      <c r="C16" s="304">
        <f>SUBTOTAL(9,C18:C25)</f>
        <v>78150</v>
      </c>
      <c r="D16" s="304">
        <f>SUBTOTAL(9,D18:D25)</f>
        <v>77777</v>
      </c>
      <c r="E16" s="305">
        <f>D16-C16</f>
        <v>-373</v>
      </c>
    </row>
    <row r="17" spans="1:7" ht="33">
      <c r="A17" s="945"/>
      <c r="B17" s="950" t="s">
        <v>804</v>
      </c>
      <c r="C17" s="951">
        <f>C16/C14*100</f>
        <v>10.42</v>
      </c>
      <c r="D17" s="951">
        <f>D16/D14*100</f>
        <v>9.4161016949152554</v>
      </c>
      <c r="E17" s="951"/>
    </row>
    <row r="18" spans="1:7">
      <c r="A18" s="952">
        <v>1</v>
      </c>
      <c r="B18" s="953" t="s">
        <v>805</v>
      </c>
      <c r="C18" s="307"/>
      <c r="D18" s="307"/>
      <c r="E18" s="954"/>
    </row>
    <row r="19" spans="1:7">
      <c r="A19" s="952">
        <f>A18+1</f>
        <v>2</v>
      </c>
      <c r="B19" s="955" t="s">
        <v>806</v>
      </c>
      <c r="C19" s="307">
        <f>SUBTOTAL(9,C20:C24)</f>
        <v>78150</v>
      </c>
      <c r="D19" s="307">
        <f>SUBTOTAL(9,D20:D24)</f>
        <v>77777</v>
      </c>
      <c r="E19" s="956">
        <f>D19-C19</f>
        <v>-373</v>
      </c>
    </row>
    <row r="20" spans="1:7" s="960" customFormat="1">
      <c r="A20" s="957" t="s">
        <v>19</v>
      </c>
      <c r="B20" s="958" t="s">
        <v>807</v>
      </c>
      <c r="C20" s="306">
        <v>21463</v>
      </c>
      <c r="D20" s="306">
        <f>C67</f>
        <v>19327</v>
      </c>
      <c r="E20" s="959">
        <f>D20-C20</f>
        <v>-2136</v>
      </c>
    </row>
    <row r="21" spans="1:7" s="960" customFormat="1" ht="33">
      <c r="A21" s="957" t="s">
        <v>19</v>
      </c>
      <c r="B21" s="958" t="s">
        <v>808</v>
      </c>
      <c r="C21" s="306">
        <v>12799</v>
      </c>
      <c r="D21" s="306">
        <f>C68</f>
        <v>11470</v>
      </c>
      <c r="E21" s="959">
        <f>D21-C21</f>
        <v>-1329</v>
      </c>
    </row>
    <row r="22" spans="1:7" s="960" customFormat="1" ht="33">
      <c r="A22" s="957" t="s">
        <v>19</v>
      </c>
      <c r="B22" s="958" t="s">
        <v>809</v>
      </c>
      <c r="C22" s="306">
        <v>43888</v>
      </c>
      <c r="D22" s="306">
        <f>C69</f>
        <v>46980</v>
      </c>
      <c r="E22" s="959">
        <f>D22-C22</f>
        <v>3092</v>
      </c>
    </row>
    <row r="23" spans="1:7" ht="33" hidden="1" outlineLevel="1">
      <c r="A23" s="961" t="s">
        <v>19</v>
      </c>
      <c r="B23" s="962" t="s">
        <v>810</v>
      </c>
      <c r="C23" s="307"/>
      <c r="D23" s="307"/>
      <c r="E23" s="954"/>
    </row>
    <row r="24" spans="1:7" ht="49.5" hidden="1" outlineLevel="1">
      <c r="A24" s="961" t="s">
        <v>19</v>
      </c>
      <c r="B24" s="962" t="s">
        <v>811</v>
      </c>
      <c r="C24" s="307"/>
      <c r="D24" s="307"/>
      <c r="E24" s="954"/>
    </row>
    <row r="25" spans="1:7" ht="33" hidden="1" outlineLevel="1">
      <c r="A25" s="952">
        <v>3</v>
      </c>
      <c r="B25" s="962" t="s">
        <v>812</v>
      </c>
      <c r="C25" s="307">
        <v>0</v>
      </c>
      <c r="D25" s="307">
        <v>0</v>
      </c>
      <c r="E25" s="954">
        <f>D25-C25</f>
        <v>0</v>
      </c>
    </row>
    <row r="26" spans="1:7" collapsed="1">
      <c r="A26" s="945" t="s">
        <v>25</v>
      </c>
      <c r="B26" s="946" t="s">
        <v>813</v>
      </c>
      <c r="C26" s="304">
        <f>SUBTOTAL(9,C27:C40)</f>
        <v>9030</v>
      </c>
      <c r="D26" s="304">
        <f>SUBTOTAL(9,D27:D40)</f>
        <v>9660</v>
      </c>
      <c r="E26" s="305">
        <f>SUBTOTAL(9,E27:E40)</f>
        <v>630</v>
      </c>
      <c r="G26" s="963"/>
    </row>
    <row r="27" spans="1:7">
      <c r="A27" s="945">
        <v>1</v>
      </c>
      <c r="B27" s="946" t="s">
        <v>814</v>
      </c>
      <c r="C27" s="304">
        <f>SUBTOTAL(9,C28:C32)</f>
        <v>0</v>
      </c>
      <c r="D27" s="304">
        <f>SUBTOTAL(9,D28:D32)</f>
        <v>0</v>
      </c>
      <c r="E27" s="304">
        <f>SUBTOTAL(9,E28:E30)</f>
        <v>0</v>
      </c>
    </row>
    <row r="28" spans="1:7" hidden="1" outlineLevel="1">
      <c r="A28" s="957" t="s">
        <v>19</v>
      </c>
      <c r="B28" s="962" t="s">
        <v>807</v>
      </c>
      <c r="C28" s="306"/>
      <c r="D28" s="307"/>
      <c r="E28" s="306">
        <f>D28-C28</f>
        <v>0</v>
      </c>
    </row>
    <row r="29" spans="1:7" ht="33" hidden="1" outlineLevel="1">
      <c r="A29" s="957" t="s">
        <v>19</v>
      </c>
      <c r="B29" s="962" t="s">
        <v>808</v>
      </c>
      <c r="C29" s="306"/>
      <c r="D29" s="307"/>
      <c r="E29" s="306">
        <f>D29-C29</f>
        <v>0</v>
      </c>
    </row>
    <row r="30" spans="1:7" ht="33" hidden="1" outlineLevel="1">
      <c r="A30" s="957" t="s">
        <v>19</v>
      </c>
      <c r="B30" s="962" t="s">
        <v>809</v>
      </c>
      <c r="C30" s="306"/>
      <c r="D30" s="307"/>
      <c r="E30" s="306">
        <f>D30-C30</f>
        <v>0</v>
      </c>
    </row>
    <row r="31" spans="1:7" ht="33" hidden="1" outlineLevel="1">
      <c r="A31" s="957" t="s">
        <v>19</v>
      </c>
      <c r="B31" s="962" t="s">
        <v>810</v>
      </c>
      <c r="C31" s="306"/>
      <c r="D31" s="307"/>
      <c r="E31" s="306"/>
    </row>
    <row r="32" spans="1:7" ht="49.5" hidden="1" outlineLevel="1">
      <c r="A32" s="957" t="s">
        <v>19</v>
      </c>
      <c r="B32" s="962" t="s">
        <v>811</v>
      </c>
      <c r="C32" s="306"/>
      <c r="D32" s="307"/>
      <c r="E32" s="306"/>
    </row>
    <row r="33" spans="1:255" collapsed="1">
      <c r="A33" s="945">
        <v>2</v>
      </c>
      <c r="B33" s="946" t="s">
        <v>815</v>
      </c>
      <c r="C33" s="305">
        <f>SUBTOTAL(9,C34:C40)</f>
        <v>9030</v>
      </c>
      <c r="D33" s="305">
        <f>SUBTOTAL(9,D34:D40)</f>
        <v>9660</v>
      </c>
      <c r="E33" s="305">
        <f>SUBTOTAL(9,E34:E40)</f>
        <v>630</v>
      </c>
    </row>
    <row r="34" spans="1:255" s="960" customFormat="1" ht="33">
      <c r="A34" s="964" t="s">
        <v>19</v>
      </c>
      <c r="B34" s="958" t="s">
        <v>816</v>
      </c>
      <c r="C34" s="307">
        <f>SUBTOTAL(9,C35:C40)</f>
        <v>9030</v>
      </c>
      <c r="D34" s="307">
        <f>SUBTOTAL(9,D35:D40)</f>
        <v>9660</v>
      </c>
      <c r="E34" s="308">
        <f>SUBTOTAL(9,E35:E40)</f>
        <v>630</v>
      </c>
      <c r="F34" s="1014"/>
    </row>
    <row r="35" spans="1:255" s="967" customFormat="1">
      <c r="A35" s="965" t="s">
        <v>432</v>
      </c>
      <c r="B35" s="966" t="s">
        <v>807</v>
      </c>
      <c r="C35" s="937">
        <f>2070+66</f>
        <v>2136</v>
      </c>
      <c r="D35" s="937">
        <v>2260</v>
      </c>
      <c r="E35" s="309">
        <f>D35-C35</f>
        <v>124</v>
      </c>
    </row>
    <row r="36" spans="1:255" s="967" customFormat="1" ht="33">
      <c r="A36" s="965" t="s">
        <v>432</v>
      </c>
      <c r="B36" s="966" t="s">
        <v>808</v>
      </c>
      <c r="C36" s="937">
        <f>1292+67-20-10</f>
        <v>1329</v>
      </c>
      <c r="D36" s="937">
        <v>1410</v>
      </c>
      <c r="E36" s="309">
        <f>D36-C36</f>
        <v>81</v>
      </c>
    </row>
    <row r="37" spans="1:255" s="967" customFormat="1" ht="33">
      <c r="A37" s="965" t="s">
        <v>432</v>
      </c>
      <c r="B37" s="966" t="s">
        <v>809</v>
      </c>
      <c r="C37" s="937">
        <f>5498+57+10</f>
        <v>5565</v>
      </c>
      <c r="D37" s="937">
        <v>5990</v>
      </c>
      <c r="E37" s="309">
        <f>D37-C37</f>
        <v>425</v>
      </c>
    </row>
    <row r="38" spans="1:255" ht="33" hidden="1" outlineLevel="1">
      <c r="A38" s="961" t="s">
        <v>432</v>
      </c>
      <c r="B38" s="962" t="s">
        <v>810</v>
      </c>
      <c r="C38" s="307"/>
      <c r="D38" s="307"/>
      <c r="E38" s="954"/>
    </row>
    <row r="39" spans="1:255" ht="49.5" hidden="1" outlineLevel="1">
      <c r="A39" s="961" t="s">
        <v>432</v>
      </c>
      <c r="B39" s="962" t="s">
        <v>811</v>
      </c>
      <c r="C39" s="307"/>
      <c r="D39" s="307"/>
      <c r="E39" s="954"/>
    </row>
    <row r="40" spans="1:255" ht="33" hidden="1" outlineLevel="1">
      <c r="A40" s="961" t="s">
        <v>432</v>
      </c>
      <c r="B40" s="962" t="s">
        <v>817</v>
      </c>
      <c r="C40" s="307">
        <v>0</v>
      </c>
      <c r="D40" s="307"/>
      <c r="E40" s="954">
        <f>D40-C40</f>
        <v>0</v>
      </c>
    </row>
    <row r="41" spans="1:255" collapsed="1">
      <c r="A41" s="945" t="s">
        <v>32</v>
      </c>
      <c r="B41" s="946" t="s">
        <v>818</v>
      </c>
      <c r="C41" s="304">
        <f>SUBTOTAL(9,C42:C44)</f>
        <v>8657</v>
      </c>
      <c r="D41" s="304">
        <f>SUBTOTAL(9,D42:D44)</f>
        <v>17100</v>
      </c>
      <c r="E41" s="304">
        <f>SUBTOTAL(9,E42:E44)</f>
        <v>8443</v>
      </c>
    </row>
    <row r="42" spans="1:255">
      <c r="A42" s="945">
        <v>1</v>
      </c>
      <c r="B42" s="946" t="s">
        <v>819</v>
      </c>
      <c r="C42" s="304">
        <f>SUBTOTAL(9,C43:C44)</f>
        <v>8657</v>
      </c>
      <c r="D42" s="304">
        <f>SUBTOTAL(9,D43:D44)</f>
        <v>17100</v>
      </c>
      <c r="E42" s="304">
        <f>SUBTOTAL(9,E43:E44)</f>
        <v>8443</v>
      </c>
    </row>
    <row r="43" spans="1:255">
      <c r="A43" s="945" t="s">
        <v>19</v>
      </c>
      <c r="B43" s="968" t="s">
        <v>820</v>
      </c>
      <c r="C43" s="307">
        <f>C48</f>
        <v>8657</v>
      </c>
      <c r="D43" s="307">
        <f>D48</f>
        <v>7400</v>
      </c>
      <c r="E43" s="307">
        <f>D43-C43</f>
        <v>-1257</v>
      </c>
    </row>
    <row r="44" spans="1:255">
      <c r="A44" s="945" t="s">
        <v>19</v>
      </c>
      <c r="B44" s="968" t="s">
        <v>821</v>
      </c>
      <c r="C44" s="304">
        <f>C57</f>
        <v>0</v>
      </c>
      <c r="D44" s="307">
        <v>9700</v>
      </c>
      <c r="E44" s="307">
        <f>D44-C44</f>
        <v>9700</v>
      </c>
    </row>
    <row r="45" spans="1:255">
      <c r="A45" s="945">
        <v>2</v>
      </c>
      <c r="B45" s="946" t="s">
        <v>822</v>
      </c>
      <c r="C45" s="304">
        <f>SUBTOTAL(9,C46:C60)</f>
        <v>8657</v>
      </c>
      <c r="D45" s="304">
        <f>SUBTOTAL(9,D46:D60)</f>
        <v>17100</v>
      </c>
      <c r="E45" s="304">
        <f>SUBTOTAL(9,E46:E60)</f>
        <v>8443</v>
      </c>
    </row>
    <row r="46" spans="1:255">
      <c r="A46" s="961" t="s">
        <v>823</v>
      </c>
      <c r="B46" s="953" t="s">
        <v>805</v>
      </c>
      <c r="C46" s="307">
        <v>0</v>
      </c>
      <c r="D46" s="307">
        <v>0</v>
      </c>
      <c r="E46" s="954">
        <f t="shared" ref="E46:E60" si="0">D46-C46</f>
        <v>0</v>
      </c>
    </row>
    <row r="47" spans="1:255">
      <c r="A47" s="961" t="s">
        <v>824</v>
      </c>
      <c r="B47" s="955" t="s">
        <v>825</v>
      </c>
      <c r="C47" s="307">
        <f>SUBTOTAL(9,C48:C60)</f>
        <v>8657</v>
      </c>
      <c r="D47" s="307">
        <f>SUBTOTAL(9,D48:D60)</f>
        <v>17100</v>
      </c>
      <c r="E47" s="307">
        <f>SUBTOTAL(9,E48:E60)</f>
        <v>8443</v>
      </c>
    </row>
    <row r="48" spans="1:255">
      <c r="A48" s="964" t="s">
        <v>19</v>
      </c>
      <c r="B48" s="968" t="s">
        <v>820</v>
      </c>
      <c r="C48" s="306">
        <f>SUBTOTAL(9,C49:C56)</f>
        <v>8657</v>
      </c>
      <c r="D48" s="306">
        <f>SUBTOTAL(9,D49:D56)</f>
        <v>7400</v>
      </c>
      <c r="E48" s="306">
        <f>SUBTOTAL(9,E49:E56)</f>
        <v>-1257</v>
      </c>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960"/>
      <c r="AM48" s="960"/>
      <c r="AN48" s="960"/>
      <c r="AO48" s="960"/>
      <c r="AP48" s="960"/>
      <c r="AQ48" s="960"/>
      <c r="AR48" s="960"/>
      <c r="AS48" s="960"/>
      <c r="AT48" s="960"/>
      <c r="AU48" s="960"/>
      <c r="AV48" s="960"/>
      <c r="AW48" s="960"/>
      <c r="AX48" s="960"/>
      <c r="AY48" s="960"/>
      <c r="AZ48" s="960"/>
      <c r="BA48" s="960"/>
      <c r="BB48" s="960"/>
      <c r="BC48" s="960"/>
      <c r="BD48" s="960"/>
      <c r="BE48" s="960"/>
      <c r="BF48" s="960"/>
      <c r="BG48" s="960"/>
      <c r="BH48" s="960"/>
      <c r="BI48" s="960"/>
      <c r="BJ48" s="960"/>
      <c r="BK48" s="960"/>
      <c r="BL48" s="960"/>
      <c r="BM48" s="960"/>
      <c r="BN48" s="960"/>
      <c r="BO48" s="960"/>
      <c r="BP48" s="960"/>
      <c r="BQ48" s="960"/>
      <c r="BR48" s="960"/>
      <c r="BS48" s="960"/>
      <c r="BT48" s="960"/>
      <c r="BU48" s="960"/>
      <c r="BV48" s="960"/>
      <c r="BW48" s="960"/>
      <c r="BX48" s="960"/>
      <c r="BY48" s="960"/>
      <c r="BZ48" s="960"/>
      <c r="CA48" s="960"/>
      <c r="CB48" s="960"/>
      <c r="CC48" s="960"/>
      <c r="CD48" s="960"/>
      <c r="CE48" s="960"/>
      <c r="CF48" s="960"/>
      <c r="CG48" s="960"/>
      <c r="CH48" s="960"/>
      <c r="CI48" s="960"/>
      <c r="CJ48" s="960"/>
      <c r="CK48" s="960"/>
      <c r="CL48" s="960"/>
      <c r="CM48" s="960"/>
      <c r="CN48" s="960"/>
      <c r="CO48" s="960"/>
      <c r="CP48" s="960"/>
      <c r="CQ48" s="960"/>
      <c r="CR48" s="960"/>
      <c r="CS48" s="960"/>
      <c r="CT48" s="960"/>
      <c r="CU48" s="960"/>
      <c r="CV48" s="960"/>
      <c r="CW48" s="960"/>
      <c r="CX48" s="960"/>
      <c r="CY48" s="960"/>
      <c r="CZ48" s="960"/>
      <c r="DA48" s="960"/>
      <c r="DB48" s="960"/>
      <c r="DC48" s="960"/>
      <c r="DD48" s="960"/>
      <c r="DE48" s="960"/>
      <c r="DF48" s="960"/>
      <c r="DG48" s="960"/>
      <c r="DH48" s="960"/>
      <c r="DI48" s="960"/>
      <c r="DJ48" s="960"/>
      <c r="DK48" s="960"/>
      <c r="DL48" s="960"/>
      <c r="DM48" s="960"/>
      <c r="DN48" s="960"/>
      <c r="DO48" s="960"/>
      <c r="DP48" s="960"/>
      <c r="DQ48" s="960"/>
      <c r="DR48" s="960"/>
      <c r="DS48" s="960"/>
      <c r="DT48" s="960"/>
      <c r="DU48" s="960"/>
      <c r="DV48" s="960"/>
      <c r="DW48" s="960"/>
      <c r="DX48" s="960"/>
      <c r="DY48" s="960"/>
      <c r="DZ48" s="960"/>
      <c r="EA48" s="960"/>
      <c r="EB48" s="960"/>
      <c r="EC48" s="960"/>
      <c r="ED48" s="960"/>
      <c r="EE48" s="960"/>
      <c r="EF48" s="960"/>
      <c r="EG48" s="960"/>
      <c r="EH48" s="960"/>
      <c r="EI48" s="960"/>
      <c r="EJ48" s="960"/>
      <c r="EK48" s="960"/>
      <c r="EL48" s="960"/>
      <c r="EM48" s="960"/>
      <c r="EN48" s="960"/>
      <c r="EO48" s="960"/>
      <c r="EP48" s="960"/>
      <c r="EQ48" s="960"/>
      <c r="ER48" s="960"/>
      <c r="ES48" s="960"/>
      <c r="ET48" s="960"/>
      <c r="EU48" s="960"/>
      <c r="EV48" s="960"/>
      <c r="EW48" s="960"/>
      <c r="EX48" s="960"/>
      <c r="EY48" s="960"/>
      <c r="EZ48" s="960"/>
      <c r="FA48" s="960"/>
      <c r="FB48" s="960"/>
      <c r="FC48" s="960"/>
      <c r="FD48" s="960"/>
      <c r="FE48" s="960"/>
      <c r="FF48" s="960"/>
      <c r="FG48" s="960"/>
      <c r="FH48" s="960"/>
      <c r="FI48" s="960"/>
      <c r="FJ48" s="960"/>
      <c r="FK48" s="960"/>
      <c r="FL48" s="960"/>
      <c r="FM48" s="960"/>
      <c r="FN48" s="960"/>
      <c r="FO48" s="960"/>
      <c r="FP48" s="960"/>
      <c r="FQ48" s="960"/>
      <c r="FR48" s="960"/>
      <c r="FS48" s="960"/>
      <c r="FT48" s="960"/>
      <c r="FU48" s="960"/>
      <c r="FV48" s="960"/>
      <c r="FW48" s="960"/>
      <c r="FX48" s="960"/>
      <c r="FY48" s="960"/>
      <c r="FZ48" s="960"/>
      <c r="GA48" s="960"/>
      <c r="GB48" s="960"/>
      <c r="GC48" s="960"/>
      <c r="GD48" s="960"/>
      <c r="GE48" s="960"/>
      <c r="GF48" s="960"/>
      <c r="GG48" s="960"/>
      <c r="GH48" s="960"/>
      <c r="GI48" s="960"/>
      <c r="GJ48" s="960"/>
      <c r="GK48" s="960"/>
      <c r="GL48" s="960"/>
      <c r="GM48" s="960"/>
      <c r="GN48" s="960"/>
      <c r="GO48" s="960"/>
      <c r="GP48" s="960"/>
      <c r="GQ48" s="960"/>
      <c r="GR48" s="960"/>
      <c r="GS48" s="960"/>
      <c r="GT48" s="960"/>
      <c r="GU48" s="960"/>
      <c r="GV48" s="960"/>
      <c r="GW48" s="960"/>
      <c r="GX48" s="960"/>
      <c r="GY48" s="960"/>
      <c r="GZ48" s="960"/>
      <c r="HA48" s="960"/>
      <c r="HB48" s="960"/>
      <c r="HC48" s="960"/>
      <c r="HD48" s="960"/>
      <c r="HE48" s="960"/>
      <c r="HF48" s="960"/>
      <c r="HG48" s="960"/>
      <c r="HH48" s="960"/>
      <c r="HI48" s="960"/>
      <c r="HJ48" s="960"/>
      <c r="HK48" s="960"/>
      <c r="HL48" s="960"/>
      <c r="HM48" s="960"/>
      <c r="HN48" s="960"/>
      <c r="HO48" s="960"/>
      <c r="HP48" s="960"/>
      <c r="HQ48" s="960"/>
      <c r="HR48" s="960"/>
      <c r="HS48" s="960"/>
      <c r="HT48" s="960"/>
      <c r="HU48" s="960"/>
      <c r="HV48" s="960"/>
      <c r="HW48" s="960"/>
      <c r="HX48" s="960"/>
      <c r="HY48" s="960"/>
      <c r="HZ48" s="960"/>
      <c r="IA48" s="960"/>
      <c r="IB48" s="960"/>
      <c r="IC48" s="960"/>
      <c r="ID48" s="960"/>
      <c r="IE48" s="960"/>
      <c r="IF48" s="960"/>
      <c r="IG48" s="960"/>
      <c r="IH48" s="960"/>
      <c r="II48" s="960"/>
      <c r="IJ48" s="960"/>
      <c r="IK48" s="960"/>
      <c r="IL48" s="960"/>
      <c r="IM48" s="960"/>
      <c r="IN48" s="960"/>
      <c r="IO48" s="960"/>
      <c r="IP48" s="960"/>
      <c r="IQ48" s="960"/>
      <c r="IR48" s="960"/>
      <c r="IS48" s="960"/>
      <c r="IT48" s="960"/>
      <c r="IU48" s="960"/>
    </row>
    <row r="49" spans="1:255" s="960" customFormat="1" hidden="1" outlineLevel="1">
      <c r="A49" s="965" t="s">
        <v>432</v>
      </c>
      <c r="B49" s="958" t="s">
        <v>807</v>
      </c>
      <c r="C49" s="969">
        <v>0</v>
      </c>
      <c r="D49" s="969">
        <v>0</v>
      </c>
      <c r="E49" s="959">
        <f t="shared" si="0"/>
        <v>0</v>
      </c>
    </row>
    <row r="50" spans="1:255" s="967" customFormat="1" ht="33" hidden="1" outlineLevel="1">
      <c r="A50" s="961" t="s">
        <v>432</v>
      </c>
      <c r="B50" s="962" t="s">
        <v>808</v>
      </c>
      <c r="C50" s="970">
        <v>0</v>
      </c>
      <c r="D50" s="970">
        <v>0</v>
      </c>
      <c r="E50" s="954">
        <f t="shared" si="0"/>
        <v>0</v>
      </c>
    </row>
    <row r="51" spans="1:255" s="967" customFormat="1" ht="33" collapsed="1">
      <c r="A51" s="961" t="s">
        <v>432</v>
      </c>
      <c r="B51" s="962" t="s">
        <v>809</v>
      </c>
      <c r="C51" s="970">
        <v>8657</v>
      </c>
      <c r="D51" s="970">
        <v>0</v>
      </c>
      <c r="E51" s="954">
        <f t="shared" si="0"/>
        <v>-8657</v>
      </c>
    </row>
    <row r="52" spans="1:255" s="967" customFormat="1" ht="33">
      <c r="A52" s="961" t="s">
        <v>432</v>
      </c>
      <c r="B52" s="962" t="s">
        <v>826</v>
      </c>
      <c r="C52" s="970"/>
      <c r="D52" s="970">
        <v>7400</v>
      </c>
      <c r="E52" s="954">
        <f t="shared" si="0"/>
        <v>7400</v>
      </c>
    </row>
    <row r="53" spans="1:255" s="967" customFormat="1" ht="51.75" hidden="1" customHeight="1" outlineLevel="1">
      <c r="A53" s="961" t="s">
        <v>432</v>
      </c>
      <c r="B53" s="962" t="s">
        <v>811</v>
      </c>
      <c r="C53" s="970"/>
      <c r="D53" s="970">
        <v>0</v>
      </c>
      <c r="E53" s="954">
        <f t="shared" si="0"/>
        <v>0</v>
      </c>
    </row>
    <row r="54" spans="1:255" s="967" customFormat="1" ht="51.75" hidden="1" customHeight="1" outlineLevel="1">
      <c r="A54" s="961" t="s">
        <v>432</v>
      </c>
      <c r="B54" s="962" t="s">
        <v>827</v>
      </c>
      <c r="C54" s="970"/>
      <c r="D54" s="970">
        <v>0</v>
      </c>
      <c r="E54" s="954">
        <f t="shared" si="0"/>
        <v>0</v>
      </c>
    </row>
    <row r="55" spans="1:255" s="967" customFormat="1" ht="51.75" hidden="1" customHeight="1" outlineLevel="1">
      <c r="A55" s="961" t="s">
        <v>432</v>
      </c>
      <c r="B55" s="962" t="s">
        <v>828</v>
      </c>
      <c r="C55" s="970"/>
      <c r="D55" s="970">
        <v>0</v>
      </c>
      <c r="E55" s="954">
        <f t="shared" si="0"/>
        <v>0</v>
      </c>
    </row>
    <row r="56" spans="1:255" s="967" customFormat="1" ht="49.5" hidden="1" outlineLevel="1">
      <c r="A56" s="961" t="s">
        <v>432</v>
      </c>
      <c r="B56" s="962" t="s">
        <v>829</v>
      </c>
      <c r="C56" s="970"/>
      <c r="D56" s="970">
        <v>0</v>
      </c>
      <c r="E56" s="954">
        <f t="shared" si="0"/>
        <v>0</v>
      </c>
    </row>
    <row r="57" spans="1:255" collapsed="1">
      <c r="A57" s="964" t="s">
        <v>19</v>
      </c>
      <c r="B57" s="968" t="s">
        <v>821</v>
      </c>
      <c r="C57" s="971">
        <f>SUBTOTAL(9,C58:C62)</f>
        <v>0</v>
      </c>
      <c r="D57" s="972">
        <f>SUBTOTAL(9,D58:D62)</f>
        <v>9700</v>
      </c>
      <c r="E57" s="972">
        <f>SUBTOTAL(9,E58:E60)</f>
        <v>9700</v>
      </c>
      <c r="F57" s="960"/>
      <c r="G57" s="960"/>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0"/>
      <c r="AF57" s="960"/>
      <c r="AG57" s="960"/>
      <c r="AH57" s="960"/>
      <c r="AI57" s="960"/>
      <c r="AJ57" s="960"/>
      <c r="AK57" s="960"/>
      <c r="AL57" s="960"/>
      <c r="AM57" s="960"/>
      <c r="AN57" s="960"/>
      <c r="AO57" s="960"/>
      <c r="AP57" s="960"/>
      <c r="AQ57" s="960"/>
      <c r="AR57" s="960"/>
      <c r="AS57" s="960"/>
      <c r="AT57" s="960"/>
      <c r="AU57" s="960"/>
      <c r="AV57" s="960"/>
      <c r="AW57" s="960"/>
      <c r="AX57" s="960"/>
      <c r="AY57" s="960"/>
      <c r="AZ57" s="960"/>
      <c r="BA57" s="960"/>
      <c r="BB57" s="960"/>
      <c r="BC57" s="960"/>
      <c r="BD57" s="960"/>
      <c r="BE57" s="960"/>
      <c r="BF57" s="960"/>
      <c r="BG57" s="960"/>
      <c r="BH57" s="960"/>
      <c r="BI57" s="960"/>
      <c r="BJ57" s="960"/>
      <c r="BK57" s="960"/>
      <c r="BL57" s="960"/>
      <c r="BM57" s="960"/>
      <c r="BN57" s="960"/>
      <c r="BO57" s="960"/>
      <c r="BP57" s="960"/>
      <c r="BQ57" s="960"/>
      <c r="BR57" s="960"/>
      <c r="BS57" s="960"/>
      <c r="BT57" s="960"/>
      <c r="BU57" s="960"/>
      <c r="BV57" s="960"/>
      <c r="BW57" s="960"/>
      <c r="BX57" s="960"/>
      <c r="BY57" s="960"/>
      <c r="BZ57" s="960"/>
      <c r="CA57" s="960"/>
      <c r="CB57" s="960"/>
      <c r="CC57" s="960"/>
      <c r="CD57" s="960"/>
      <c r="CE57" s="960"/>
      <c r="CF57" s="960"/>
      <c r="CG57" s="960"/>
      <c r="CH57" s="960"/>
      <c r="CI57" s="960"/>
      <c r="CJ57" s="960"/>
      <c r="CK57" s="960"/>
      <c r="CL57" s="960"/>
      <c r="CM57" s="960"/>
      <c r="CN57" s="960"/>
      <c r="CO57" s="960"/>
      <c r="CP57" s="960"/>
      <c r="CQ57" s="960"/>
      <c r="CR57" s="960"/>
      <c r="CS57" s="960"/>
      <c r="CT57" s="960"/>
      <c r="CU57" s="960"/>
      <c r="CV57" s="960"/>
      <c r="CW57" s="960"/>
      <c r="CX57" s="960"/>
      <c r="CY57" s="960"/>
      <c r="CZ57" s="960"/>
      <c r="DA57" s="960"/>
      <c r="DB57" s="960"/>
      <c r="DC57" s="960"/>
      <c r="DD57" s="960"/>
      <c r="DE57" s="960"/>
      <c r="DF57" s="960"/>
      <c r="DG57" s="960"/>
      <c r="DH57" s="960"/>
      <c r="DI57" s="960"/>
      <c r="DJ57" s="960"/>
      <c r="DK57" s="960"/>
      <c r="DL57" s="960"/>
      <c r="DM57" s="960"/>
      <c r="DN57" s="960"/>
      <c r="DO57" s="960"/>
      <c r="DP57" s="960"/>
      <c r="DQ57" s="960"/>
      <c r="DR57" s="960"/>
      <c r="DS57" s="960"/>
      <c r="DT57" s="960"/>
      <c r="DU57" s="960"/>
      <c r="DV57" s="960"/>
      <c r="DW57" s="960"/>
      <c r="DX57" s="960"/>
      <c r="DY57" s="960"/>
      <c r="DZ57" s="960"/>
      <c r="EA57" s="960"/>
      <c r="EB57" s="960"/>
      <c r="EC57" s="960"/>
      <c r="ED57" s="960"/>
      <c r="EE57" s="960"/>
      <c r="EF57" s="960"/>
      <c r="EG57" s="960"/>
      <c r="EH57" s="960"/>
      <c r="EI57" s="960"/>
      <c r="EJ57" s="960"/>
      <c r="EK57" s="960"/>
      <c r="EL57" s="960"/>
      <c r="EM57" s="960"/>
      <c r="EN57" s="960"/>
      <c r="EO57" s="960"/>
      <c r="EP57" s="960"/>
      <c r="EQ57" s="960"/>
      <c r="ER57" s="960"/>
      <c r="ES57" s="960"/>
      <c r="ET57" s="960"/>
      <c r="EU57" s="960"/>
      <c r="EV57" s="960"/>
      <c r="EW57" s="960"/>
      <c r="EX57" s="960"/>
      <c r="EY57" s="960"/>
      <c r="EZ57" s="960"/>
      <c r="FA57" s="960"/>
      <c r="FB57" s="960"/>
      <c r="FC57" s="960"/>
      <c r="FD57" s="960"/>
      <c r="FE57" s="960"/>
      <c r="FF57" s="960"/>
      <c r="FG57" s="960"/>
      <c r="FH57" s="960"/>
      <c r="FI57" s="960"/>
      <c r="FJ57" s="960"/>
      <c r="FK57" s="960"/>
      <c r="FL57" s="960"/>
      <c r="FM57" s="960"/>
      <c r="FN57" s="960"/>
      <c r="FO57" s="960"/>
      <c r="FP57" s="960"/>
      <c r="FQ57" s="960"/>
      <c r="FR57" s="960"/>
      <c r="FS57" s="960"/>
      <c r="FT57" s="960"/>
      <c r="FU57" s="960"/>
      <c r="FV57" s="960"/>
      <c r="FW57" s="960"/>
      <c r="FX57" s="960"/>
      <c r="FY57" s="960"/>
      <c r="FZ57" s="960"/>
      <c r="GA57" s="960"/>
      <c r="GB57" s="960"/>
      <c r="GC57" s="960"/>
      <c r="GD57" s="960"/>
      <c r="GE57" s="960"/>
      <c r="GF57" s="960"/>
      <c r="GG57" s="960"/>
      <c r="GH57" s="960"/>
      <c r="GI57" s="960"/>
      <c r="GJ57" s="960"/>
      <c r="GK57" s="960"/>
      <c r="GL57" s="960"/>
      <c r="GM57" s="960"/>
      <c r="GN57" s="960"/>
      <c r="GO57" s="960"/>
      <c r="GP57" s="960"/>
      <c r="GQ57" s="960"/>
      <c r="GR57" s="960"/>
      <c r="GS57" s="960"/>
      <c r="GT57" s="960"/>
      <c r="GU57" s="960"/>
      <c r="GV57" s="960"/>
      <c r="GW57" s="960"/>
      <c r="GX57" s="960"/>
      <c r="GY57" s="960"/>
      <c r="GZ57" s="960"/>
      <c r="HA57" s="960"/>
      <c r="HB57" s="960"/>
      <c r="HC57" s="960"/>
      <c r="HD57" s="960"/>
      <c r="HE57" s="960"/>
      <c r="HF57" s="960"/>
      <c r="HG57" s="960"/>
      <c r="HH57" s="960"/>
      <c r="HI57" s="960"/>
      <c r="HJ57" s="960"/>
      <c r="HK57" s="960"/>
      <c r="HL57" s="960"/>
      <c r="HM57" s="960"/>
      <c r="HN57" s="960"/>
      <c r="HO57" s="960"/>
      <c r="HP57" s="960"/>
      <c r="HQ57" s="960"/>
      <c r="HR57" s="960"/>
      <c r="HS57" s="960"/>
      <c r="HT57" s="960"/>
      <c r="HU57" s="960"/>
      <c r="HV57" s="960"/>
      <c r="HW57" s="960"/>
      <c r="HX57" s="960"/>
      <c r="HY57" s="960"/>
      <c r="HZ57" s="960"/>
      <c r="IA57" s="960"/>
      <c r="IB57" s="960"/>
      <c r="IC57" s="960"/>
      <c r="ID57" s="960"/>
      <c r="IE57" s="960"/>
      <c r="IF57" s="960"/>
      <c r="IG57" s="960"/>
      <c r="IH57" s="960"/>
      <c r="II57" s="960"/>
      <c r="IJ57" s="960"/>
      <c r="IK57" s="960"/>
      <c r="IL57" s="960"/>
      <c r="IM57" s="960"/>
      <c r="IN57" s="960"/>
      <c r="IO57" s="960"/>
      <c r="IP57" s="960"/>
      <c r="IQ57" s="960"/>
      <c r="IR57" s="960"/>
      <c r="IS57" s="960"/>
      <c r="IT57" s="960"/>
      <c r="IU57" s="960"/>
    </row>
    <row r="58" spans="1:255" hidden="1" outlineLevel="1">
      <c r="A58" s="965" t="s">
        <v>432</v>
      </c>
      <c r="B58" s="962" t="s">
        <v>807</v>
      </c>
      <c r="C58" s="970">
        <v>0</v>
      </c>
      <c r="D58" s="973">
        <v>2260</v>
      </c>
      <c r="E58" s="972">
        <f t="shared" si="0"/>
        <v>2260</v>
      </c>
    </row>
    <row r="59" spans="1:255" ht="33" hidden="1" outlineLevel="1">
      <c r="A59" s="965" t="s">
        <v>432</v>
      </c>
      <c r="B59" s="962" t="s">
        <v>808</v>
      </c>
      <c r="C59" s="970">
        <v>0</v>
      </c>
      <c r="D59" s="973">
        <v>1440</v>
      </c>
      <c r="E59" s="972">
        <f t="shared" si="0"/>
        <v>1440</v>
      </c>
    </row>
    <row r="60" spans="1:255" ht="33" hidden="1" outlineLevel="1">
      <c r="A60" s="965" t="s">
        <v>432</v>
      </c>
      <c r="B60" s="962" t="s">
        <v>809</v>
      </c>
      <c r="C60" s="970">
        <v>0</v>
      </c>
      <c r="D60" s="973">
        <v>6000</v>
      </c>
      <c r="E60" s="972">
        <f t="shared" si="0"/>
        <v>6000</v>
      </c>
    </row>
    <row r="61" spans="1:255" ht="33" hidden="1" outlineLevel="1">
      <c r="A61" s="965" t="s">
        <v>432</v>
      </c>
      <c r="B61" s="962" t="s">
        <v>810</v>
      </c>
      <c r="C61" s="970"/>
      <c r="D61" s="971"/>
      <c r="E61" s="971"/>
    </row>
    <row r="62" spans="1:255" ht="49.5" hidden="1" outlineLevel="1">
      <c r="A62" s="965" t="s">
        <v>432</v>
      </c>
      <c r="B62" s="962" t="s">
        <v>811</v>
      </c>
      <c r="C62" s="970"/>
      <c r="D62" s="971"/>
      <c r="E62" s="971"/>
    </row>
    <row r="63" spans="1:255" collapsed="1">
      <c r="A63" s="945" t="s">
        <v>67</v>
      </c>
      <c r="B63" s="946" t="s">
        <v>830</v>
      </c>
      <c r="C63" s="304">
        <f>SUBTOTAL(9,C65:C75)</f>
        <v>77777</v>
      </c>
      <c r="D63" s="304">
        <f>SUBTOTAL(9,D65:D75)</f>
        <v>85217</v>
      </c>
      <c r="E63" s="305">
        <f>SUBTOTAL(9,E65:E75)</f>
        <v>7440</v>
      </c>
    </row>
    <row r="64" spans="1:255" ht="33">
      <c r="A64" s="945"/>
      <c r="B64" s="950" t="s">
        <v>831</v>
      </c>
      <c r="C64" s="951">
        <f>C63/C14*100</f>
        <v>10.370266666666666</v>
      </c>
      <c r="D64" s="951">
        <f>D63/D14*100</f>
        <v>10.316828087167071</v>
      </c>
      <c r="E64" s="951"/>
    </row>
    <row r="65" spans="1:255">
      <c r="A65" s="952">
        <v>1</v>
      </c>
      <c r="B65" s="953" t="s">
        <v>805</v>
      </c>
      <c r="C65" s="307"/>
      <c r="D65" s="307"/>
      <c r="E65" s="954"/>
    </row>
    <row r="66" spans="1:255">
      <c r="A66" s="952">
        <f>A65+1</f>
        <v>2</v>
      </c>
      <c r="B66" s="955" t="s">
        <v>825</v>
      </c>
      <c r="C66" s="307">
        <f>SUBTOTAL(9,C67:C74)</f>
        <v>77777</v>
      </c>
      <c r="D66" s="307">
        <f>SUBTOTAL(9,D67:D74)</f>
        <v>85217</v>
      </c>
      <c r="E66" s="307">
        <f>SUBTOTAL(9,E67:E74)</f>
        <v>7440</v>
      </c>
    </row>
    <row r="67" spans="1:255" s="960" customFormat="1">
      <c r="A67" s="957" t="s">
        <v>19</v>
      </c>
      <c r="B67" s="958" t="s">
        <v>807</v>
      </c>
      <c r="C67" s="306">
        <f>C20-C35+C49</f>
        <v>19327</v>
      </c>
      <c r="D67" s="306">
        <f>D20-D35+D49+D58</f>
        <v>19327</v>
      </c>
      <c r="E67" s="306">
        <f t="shared" ref="E67:E75" si="1">D67-C67</f>
        <v>0</v>
      </c>
    </row>
    <row r="68" spans="1:255" s="960" customFormat="1" ht="33">
      <c r="A68" s="957" t="s">
        <v>19</v>
      </c>
      <c r="B68" s="958" t="s">
        <v>808</v>
      </c>
      <c r="C68" s="306">
        <f>C21-C36+C50</f>
        <v>11470</v>
      </c>
      <c r="D68" s="306">
        <f>D21-D36+D50+D59</f>
        <v>11500</v>
      </c>
      <c r="E68" s="306">
        <f t="shared" si="1"/>
        <v>30</v>
      </c>
    </row>
    <row r="69" spans="1:255" s="960" customFormat="1" ht="33">
      <c r="A69" s="957" t="s">
        <v>19</v>
      </c>
      <c r="B69" s="958" t="s">
        <v>809</v>
      </c>
      <c r="C69" s="306">
        <f>C22-C37+C51</f>
        <v>46980</v>
      </c>
      <c r="D69" s="306">
        <f>D22-D37+D51+D60</f>
        <v>46990</v>
      </c>
      <c r="E69" s="306">
        <f t="shared" si="1"/>
        <v>10</v>
      </c>
    </row>
    <row r="70" spans="1:255" s="960" customFormat="1" ht="33">
      <c r="A70" s="957" t="s">
        <v>19</v>
      </c>
      <c r="B70" s="958" t="s">
        <v>810</v>
      </c>
      <c r="C70" s="306">
        <f>C23-C38+C52</f>
        <v>0</v>
      </c>
      <c r="D70" s="306">
        <f>D23-D31+D52+D61</f>
        <v>7400</v>
      </c>
      <c r="E70" s="306">
        <f t="shared" si="1"/>
        <v>7400</v>
      </c>
    </row>
    <row r="71" spans="1:255" s="960" customFormat="1" ht="49.5">
      <c r="A71" s="957" t="s">
        <v>19</v>
      </c>
      <c r="B71" s="958" t="s">
        <v>811</v>
      </c>
      <c r="C71" s="306">
        <f>C24-C39+C53</f>
        <v>0</v>
      </c>
      <c r="D71" s="306">
        <f>D24-D32+D53+D62</f>
        <v>0</v>
      </c>
      <c r="E71" s="306">
        <f t="shared" si="1"/>
        <v>0</v>
      </c>
    </row>
    <row r="72" spans="1:255" ht="49.5" hidden="1" outlineLevel="1">
      <c r="A72" s="961" t="s">
        <v>19</v>
      </c>
      <c r="B72" s="962" t="s">
        <v>827</v>
      </c>
      <c r="C72" s="307"/>
      <c r="D72" s="307">
        <f>D54</f>
        <v>0</v>
      </c>
      <c r="E72" s="306">
        <f t="shared" si="1"/>
        <v>0</v>
      </c>
    </row>
    <row r="73" spans="1:255" ht="33" hidden="1" outlineLevel="1">
      <c r="A73" s="961" t="s">
        <v>19</v>
      </c>
      <c r="B73" s="962" t="s">
        <v>828</v>
      </c>
      <c r="C73" s="307"/>
      <c r="D73" s="307">
        <f>D55</f>
        <v>0</v>
      </c>
      <c r="E73" s="306">
        <f t="shared" si="1"/>
        <v>0</v>
      </c>
    </row>
    <row r="74" spans="1:255" ht="49.5" hidden="1" outlineLevel="1">
      <c r="A74" s="961" t="s">
        <v>19</v>
      </c>
      <c r="B74" s="962" t="s">
        <v>829</v>
      </c>
      <c r="C74" s="307"/>
      <c r="D74" s="307">
        <f>D56</f>
        <v>0</v>
      </c>
      <c r="E74" s="306">
        <f t="shared" si="1"/>
        <v>0</v>
      </c>
    </row>
    <row r="75" spans="1:255" ht="33" hidden="1" outlineLevel="1">
      <c r="A75" s="952">
        <v>3</v>
      </c>
      <c r="B75" s="955" t="s">
        <v>812</v>
      </c>
      <c r="C75" s="307">
        <f>C25-C40</f>
        <v>0</v>
      </c>
      <c r="D75" s="307">
        <f>D25-D40</f>
        <v>0</v>
      </c>
      <c r="E75" s="307">
        <f t="shared" si="1"/>
        <v>0</v>
      </c>
    </row>
    <row r="76" spans="1:255" collapsed="1">
      <c r="A76" s="945" t="s">
        <v>832</v>
      </c>
      <c r="B76" s="946" t="s">
        <v>833</v>
      </c>
      <c r="C76" s="304">
        <f>SUBTOTAL(9,C77:C84)</f>
        <v>1675</v>
      </c>
      <c r="D76" s="304">
        <f>SUBTOTAL(9,D77:D84)</f>
        <v>2300</v>
      </c>
      <c r="E76" s="304">
        <f>SUBTOTAL(9,E77:E84)</f>
        <v>625</v>
      </c>
    </row>
    <row r="77" spans="1:255">
      <c r="A77" s="974" t="s">
        <v>19</v>
      </c>
      <c r="B77" s="962" t="s">
        <v>807</v>
      </c>
      <c r="C77" s="1002">
        <v>478</v>
      </c>
      <c r="D77" s="307">
        <v>388</v>
      </c>
      <c r="E77" s="306">
        <f t="shared" ref="E77:E84" si="2">D77-C77</f>
        <v>-90</v>
      </c>
      <c r="F77" s="975"/>
      <c r="G77" s="975"/>
      <c r="H77" s="975"/>
      <c r="I77" s="975"/>
      <c r="J77" s="975"/>
      <c r="K77" s="975"/>
      <c r="L77" s="975"/>
      <c r="M77" s="975"/>
      <c r="N77" s="975"/>
      <c r="O77" s="975"/>
      <c r="P77" s="975"/>
      <c r="Q77" s="975"/>
      <c r="R77" s="975"/>
      <c r="S77" s="975"/>
      <c r="T77" s="975"/>
      <c r="U77" s="975"/>
      <c r="V77" s="975"/>
      <c r="W77" s="975"/>
      <c r="X77" s="975"/>
      <c r="Y77" s="975"/>
      <c r="Z77" s="975"/>
      <c r="AA77" s="975"/>
      <c r="AB77" s="975"/>
      <c r="AC77" s="975"/>
      <c r="AD77" s="975"/>
      <c r="AE77" s="975"/>
      <c r="AF77" s="975"/>
      <c r="AG77" s="975"/>
      <c r="AH77" s="975"/>
      <c r="AI77" s="975"/>
      <c r="AJ77" s="975"/>
      <c r="AK77" s="975"/>
      <c r="AL77" s="975"/>
      <c r="AM77" s="975"/>
      <c r="AN77" s="975"/>
      <c r="AO77" s="975"/>
      <c r="AP77" s="975"/>
      <c r="AQ77" s="975"/>
      <c r="AR77" s="975"/>
      <c r="AS77" s="975"/>
      <c r="AT77" s="975"/>
      <c r="AU77" s="975"/>
      <c r="AV77" s="975"/>
      <c r="AW77" s="975"/>
      <c r="AX77" s="975"/>
      <c r="AY77" s="975"/>
      <c r="AZ77" s="975"/>
      <c r="BA77" s="975"/>
      <c r="BB77" s="975"/>
      <c r="BC77" s="975"/>
      <c r="BD77" s="975"/>
      <c r="BE77" s="975"/>
      <c r="BF77" s="975"/>
      <c r="BG77" s="975"/>
      <c r="BH77" s="975"/>
      <c r="BI77" s="975"/>
      <c r="BJ77" s="975"/>
      <c r="BK77" s="975"/>
      <c r="BL77" s="975"/>
      <c r="BM77" s="975"/>
      <c r="BN77" s="975"/>
      <c r="BO77" s="975"/>
      <c r="BP77" s="975"/>
      <c r="BQ77" s="975"/>
      <c r="BR77" s="975"/>
      <c r="BS77" s="975"/>
      <c r="BT77" s="975"/>
      <c r="BU77" s="975"/>
      <c r="BV77" s="975"/>
      <c r="BW77" s="975"/>
      <c r="BX77" s="975"/>
      <c r="BY77" s="975"/>
      <c r="BZ77" s="975"/>
      <c r="CA77" s="975"/>
      <c r="CB77" s="975"/>
      <c r="CC77" s="975"/>
      <c r="CD77" s="975"/>
      <c r="CE77" s="975"/>
      <c r="CF77" s="975"/>
      <c r="CG77" s="975"/>
      <c r="CH77" s="975"/>
      <c r="CI77" s="975"/>
      <c r="CJ77" s="975"/>
      <c r="CK77" s="975"/>
      <c r="CL77" s="975"/>
      <c r="CM77" s="975"/>
      <c r="CN77" s="975"/>
      <c r="CO77" s="975"/>
      <c r="CP77" s="975"/>
      <c r="CQ77" s="975"/>
      <c r="CR77" s="975"/>
      <c r="CS77" s="975"/>
      <c r="CT77" s="975"/>
      <c r="CU77" s="975"/>
      <c r="CV77" s="975"/>
      <c r="CW77" s="975"/>
      <c r="CX77" s="975"/>
      <c r="CY77" s="975"/>
      <c r="CZ77" s="975"/>
      <c r="DA77" s="975"/>
      <c r="DB77" s="975"/>
      <c r="DC77" s="975"/>
      <c r="DD77" s="975"/>
      <c r="DE77" s="975"/>
      <c r="DF77" s="975"/>
      <c r="DG77" s="975"/>
      <c r="DH77" s="975"/>
      <c r="DI77" s="975"/>
      <c r="DJ77" s="975"/>
      <c r="DK77" s="975"/>
      <c r="DL77" s="975"/>
      <c r="DM77" s="975"/>
      <c r="DN77" s="975"/>
      <c r="DO77" s="975"/>
      <c r="DP77" s="975"/>
      <c r="DQ77" s="975"/>
      <c r="DR77" s="975"/>
      <c r="DS77" s="975"/>
      <c r="DT77" s="975"/>
      <c r="DU77" s="975"/>
      <c r="DV77" s="975"/>
      <c r="DW77" s="975"/>
      <c r="DX77" s="975"/>
      <c r="DY77" s="975"/>
      <c r="DZ77" s="975"/>
      <c r="EA77" s="975"/>
      <c r="EB77" s="975"/>
      <c r="EC77" s="975"/>
      <c r="ED77" s="975"/>
      <c r="EE77" s="975"/>
      <c r="EF77" s="975"/>
      <c r="EG77" s="975"/>
      <c r="EH77" s="975"/>
      <c r="EI77" s="975"/>
      <c r="EJ77" s="975"/>
      <c r="EK77" s="975"/>
      <c r="EL77" s="975"/>
      <c r="EM77" s="975"/>
      <c r="EN77" s="975"/>
      <c r="EO77" s="975"/>
      <c r="EP77" s="975"/>
      <c r="EQ77" s="975"/>
      <c r="ER77" s="975"/>
      <c r="ES77" s="975"/>
      <c r="ET77" s="975"/>
      <c r="EU77" s="975"/>
      <c r="EV77" s="975"/>
      <c r="EW77" s="975"/>
      <c r="EX77" s="975"/>
      <c r="EY77" s="975"/>
      <c r="EZ77" s="975"/>
      <c r="FA77" s="975"/>
      <c r="FB77" s="975"/>
      <c r="FC77" s="975"/>
      <c r="FD77" s="975"/>
      <c r="FE77" s="975"/>
      <c r="FF77" s="975"/>
      <c r="FG77" s="975"/>
      <c r="FH77" s="975"/>
      <c r="FI77" s="975"/>
      <c r="FJ77" s="975"/>
      <c r="FK77" s="975"/>
      <c r="FL77" s="975"/>
      <c r="FM77" s="975"/>
      <c r="FN77" s="975"/>
      <c r="FO77" s="975"/>
      <c r="FP77" s="975"/>
      <c r="FQ77" s="975"/>
      <c r="FR77" s="975"/>
      <c r="FS77" s="975"/>
      <c r="FT77" s="975"/>
      <c r="FU77" s="975"/>
      <c r="FV77" s="975"/>
      <c r="FW77" s="975"/>
      <c r="FX77" s="975"/>
      <c r="FY77" s="975"/>
      <c r="FZ77" s="975"/>
      <c r="GA77" s="975"/>
      <c r="GB77" s="975"/>
      <c r="GC77" s="975"/>
      <c r="GD77" s="975"/>
      <c r="GE77" s="975"/>
      <c r="GF77" s="975"/>
      <c r="GG77" s="975"/>
      <c r="GH77" s="975"/>
      <c r="GI77" s="975"/>
      <c r="GJ77" s="975"/>
      <c r="GK77" s="975"/>
      <c r="GL77" s="975"/>
      <c r="GM77" s="975"/>
      <c r="GN77" s="975"/>
      <c r="GO77" s="975"/>
      <c r="GP77" s="975"/>
      <c r="GQ77" s="975"/>
      <c r="GR77" s="975"/>
      <c r="GS77" s="975"/>
      <c r="GT77" s="975"/>
      <c r="GU77" s="975"/>
      <c r="GV77" s="975"/>
      <c r="GW77" s="975"/>
      <c r="GX77" s="975"/>
      <c r="GY77" s="975"/>
      <c r="GZ77" s="975"/>
      <c r="HA77" s="975"/>
      <c r="HB77" s="975"/>
      <c r="HC77" s="975"/>
      <c r="HD77" s="975"/>
      <c r="HE77" s="975"/>
      <c r="HF77" s="975"/>
      <c r="HG77" s="975"/>
      <c r="HH77" s="975"/>
      <c r="HI77" s="975"/>
      <c r="HJ77" s="975"/>
      <c r="HK77" s="975"/>
      <c r="HL77" s="975"/>
      <c r="HM77" s="975"/>
      <c r="HN77" s="975"/>
      <c r="HO77" s="975"/>
      <c r="HP77" s="975"/>
      <c r="HQ77" s="975"/>
      <c r="HR77" s="975"/>
      <c r="HS77" s="975"/>
      <c r="HT77" s="975"/>
      <c r="HU77" s="975"/>
      <c r="HV77" s="975"/>
      <c r="HW77" s="975"/>
      <c r="HX77" s="975"/>
      <c r="HY77" s="975"/>
      <c r="HZ77" s="975"/>
      <c r="IA77" s="975"/>
      <c r="IB77" s="975"/>
      <c r="IC77" s="975"/>
      <c r="ID77" s="975"/>
      <c r="IE77" s="975"/>
      <c r="IF77" s="975"/>
      <c r="IG77" s="975"/>
      <c r="IH77" s="975"/>
      <c r="II77" s="975"/>
      <c r="IJ77" s="975"/>
      <c r="IK77" s="975"/>
      <c r="IL77" s="975"/>
      <c r="IM77" s="975"/>
      <c r="IN77" s="975"/>
      <c r="IO77" s="975"/>
      <c r="IP77" s="975"/>
      <c r="IQ77" s="975"/>
      <c r="IR77" s="975"/>
      <c r="IS77" s="975"/>
      <c r="IT77" s="975"/>
      <c r="IU77" s="975"/>
    </row>
    <row r="78" spans="1:255" ht="33">
      <c r="A78" s="974" t="s">
        <v>19</v>
      </c>
      <c r="B78" s="962" t="s">
        <v>808</v>
      </c>
      <c r="C78" s="1002">
        <v>276</v>
      </c>
      <c r="D78" s="307">
        <v>230</v>
      </c>
      <c r="E78" s="306">
        <f t="shared" si="2"/>
        <v>-46</v>
      </c>
      <c r="F78" s="975"/>
      <c r="G78" s="975"/>
      <c r="H78" s="975"/>
      <c r="I78" s="975"/>
      <c r="J78" s="975"/>
      <c r="K78" s="975"/>
      <c r="L78" s="975"/>
      <c r="M78" s="975"/>
      <c r="N78" s="975"/>
      <c r="O78" s="975"/>
      <c r="P78" s="975"/>
      <c r="Q78" s="975"/>
      <c r="R78" s="975"/>
      <c r="S78" s="975"/>
      <c r="T78" s="975"/>
      <c r="U78" s="975"/>
      <c r="V78" s="975"/>
      <c r="W78" s="975"/>
      <c r="X78" s="975"/>
      <c r="Y78" s="975"/>
      <c r="Z78" s="975"/>
      <c r="AA78" s="975"/>
      <c r="AB78" s="975"/>
      <c r="AC78" s="975"/>
      <c r="AD78" s="975"/>
      <c r="AE78" s="975"/>
      <c r="AF78" s="975"/>
      <c r="AG78" s="975"/>
      <c r="AH78" s="975"/>
      <c r="AI78" s="975"/>
      <c r="AJ78" s="975"/>
      <c r="AK78" s="975"/>
      <c r="AL78" s="975"/>
      <c r="AM78" s="975"/>
      <c r="AN78" s="975"/>
      <c r="AO78" s="975"/>
      <c r="AP78" s="975"/>
      <c r="AQ78" s="975"/>
      <c r="AR78" s="975"/>
      <c r="AS78" s="975"/>
      <c r="AT78" s="975"/>
      <c r="AU78" s="975"/>
      <c r="AV78" s="975"/>
      <c r="AW78" s="975"/>
      <c r="AX78" s="975"/>
      <c r="AY78" s="975"/>
      <c r="AZ78" s="975"/>
      <c r="BA78" s="975"/>
      <c r="BB78" s="975"/>
      <c r="BC78" s="975"/>
      <c r="BD78" s="975"/>
      <c r="BE78" s="975"/>
      <c r="BF78" s="975"/>
      <c r="BG78" s="975"/>
      <c r="BH78" s="975"/>
      <c r="BI78" s="975"/>
      <c r="BJ78" s="975"/>
      <c r="BK78" s="975"/>
      <c r="BL78" s="975"/>
      <c r="BM78" s="975"/>
      <c r="BN78" s="975"/>
      <c r="BO78" s="975"/>
      <c r="BP78" s="975"/>
      <c r="BQ78" s="975"/>
      <c r="BR78" s="975"/>
      <c r="BS78" s="975"/>
      <c r="BT78" s="975"/>
      <c r="BU78" s="975"/>
      <c r="BV78" s="975"/>
      <c r="BW78" s="975"/>
      <c r="BX78" s="975"/>
      <c r="BY78" s="975"/>
      <c r="BZ78" s="975"/>
      <c r="CA78" s="975"/>
      <c r="CB78" s="975"/>
      <c r="CC78" s="975"/>
      <c r="CD78" s="975"/>
      <c r="CE78" s="975"/>
      <c r="CF78" s="975"/>
      <c r="CG78" s="975"/>
      <c r="CH78" s="975"/>
      <c r="CI78" s="975"/>
      <c r="CJ78" s="975"/>
      <c r="CK78" s="975"/>
      <c r="CL78" s="975"/>
      <c r="CM78" s="975"/>
      <c r="CN78" s="975"/>
      <c r="CO78" s="975"/>
      <c r="CP78" s="975"/>
      <c r="CQ78" s="975"/>
      <c r="CR78" s="975"/>
      <c r="CS78" s="975"/>
      <c r="CT78" s="975"/>
      <c r="CU78" s="975"/>
      <c r="CV78" s="975"/>
      <c r="CW78" s="975"/>
      <c r="CX78" s="975"/>
      <c r="CY78" s="975"/>
      <c r="CZ78" s="975"/>
      <c r="DA78" s="975"/>
      <c r="DB78" s="975"/>
      <c r="DC78" s="975"/>
      <c r="DD78" s="975"/>
      <c r="DE78" s="975"/>
      <c r="DF78" s="975"/>
      <c r="DG78" s="975"/>
      <c r="DH78" s="975"/>
      <c r="DI78" s="975"/>
      <c r="DJ78" s="975"/>
      <c r="DK78" s="975"/>
      <c r="DL78" s="975"/>
      <c r="DM78" s="975"/>
      <c r="DN78" s="975"/>
      <c r="DO78" s="975"/>
      <c r="DP78" s="975"/>
      <c r="DQ78" s="975"/>
      <c r="DR78" s="975"/>
      <c r="DS78" s="975"/>
      <c r="DT78" s="975"/>
      <c r="DU78" s="975"/>
      <c r="DV78" s="975"/>
      <c r="DW78" s="975"/>
      <c r="DX78" s="975"/>
      <c r="DY78" s="975"/>
      <c r="DZ78" s="975"/>
      <c r="EA78" s="975"/>
      <c r="EB78" s="975"/>
      <c r="EC78" s="975"/>
      <c r="ED78" s="975"/>
      <c r="EE78" s="975"/>
      <c r="EF78" s="975"/>
      <c r="EG78" s="975"/>
      <c r="EH78" s="975"/>
      <c r="EI78" s="975"/>
      <c r="EJ78" s="975"/>
      <c r="EK78" s="975"/>
      <c r="EL78" s="975"/>
      <c r="EM78" s="975"/>
      <c r="EN78" s="975"/>
      <c r="EO78" s="975"/>
      <c r="EP78" s="975"/>
      <c r="EQ78" s="975"/>
      <c r="ER78" s="975"/>
      <c r="ES78" s="975"/>
      <c r="ET78" s="975"/>
      <c r="EU78" s="975"/>
      <c r="EV78" s="975"/>
      <c r="EW78" s="975"/>
      <c r="EX78" s="975"/>
      <c r="EY78" s="975"/>
      <c r="EZ78" s="975"/>
      <c r="FA78" s="975"/>
      <c r="FB78" s="975"/>
      <c r="FC78" s="975"/>
      <c r="FD78" s="975"/>
      <c r="FE78" s="975"/>
      <c r="FF78" s="975"/>
      <c r="FG78" s="975"/>
      <c r="FH78" s="975"/>
      <c r="FI78" s="975"/>
      <c r="FJ78" s="975"/>
      <c r="FK78" s="975"/>
      <c r="FL78" s="975"/>
      <c r="FM78" s="975"/>
      <c r="FN78" s="975"/>
      <c r="FO78" s="975"/>
      <c r="FP78" s="975"/>
      <c r="FQ78" s="975"/>
      <c r="FR78" s="975"/>
      <c r="FS78" s="975"/>
      <c r="FT78" s="975"/>
      <c r="FU78" s="975"/>
      <c r="FV78" s="975"/>
      <c r="FW78" s="975"/>
      <c r="FX78" s="975"/>
      <c r="FY78" s="975"/>
      <c r="FZ78" s="975"/>
      <c r="GA78" s="975"/>
      <c r="GB78" s="975"/>
      <c r="GC78" s="975"/>
      <c r="GD78" s="975"/>
      <c r="GE78" s="975"/>
      <c r="GF78" s="975"/>
      <c r="GG78" s="975"/>
      <c r="GH78" s="975"/>
      <c r="GI78" s="975"/>
      <c r="GJ78" s="975"/>
      <c r="GK78" s="975"/>
      <c r="GL78" s="975"/>
      <c r="GM78" s="975"/>
      <c r="GN78" s="975"/>
      <c r="GO78" s="975"/>
      <c r="GP78" s="975"/>
      <c r="GQ78" s="975"/>
      <c r="GR78" s="975"/>
      <c r="GS78" s="975"/>
      <c r="GT78" s="975"/>
      <c r="GU78" s="975"/>
      <c r="GV78" s="975"/>
      <c r="GW78" s="975"/>
      <c r="GX78" s="975"/>
      <c r="GY78" s="975"/>
      <c r="GZ78" s="975"/>
      <c r="HA78" s="975"/>
      <c r="HB78" s="975"/>
      <c r="HC78" s="975"/>
      <c r="HD78" s="975"/>
      <c r="HE78" s="975"/>
      <c r="HF78" s="975"/>
      <c r="HG78" s="975"/>
      <c r="HH78" s="975"/>
      <c r="HI78" s="975"/>
      <c r="HJ78" s="975"/>
      <c r="HK78" s="975"/>
      <c r="HL78" s="975"/>
      <c r="HM78" s="975"/>
      <c r="HN78" s="975"/>
      <c r="HO78" s="975"/>
      <c r="HP78" s="975"/>
      <c r="HQ78" s="975"/>
      <c r="HR78" s="975"/>
      <c r="HS78" s="975"/>
      <c r="HT78" s="975"/>
      <c r="HU78" s="975"/>
      <c r="HV78" s="975"/>
      <c r="HW78" s="975"/>
      <c r="HX78" s="975"/>
      <c r="HY78" s="975"/>
      <c r="HZ78" s="975"/>
      <c r="IA78" s="975"/>
      <c r="IB78" s="975"/>
      <c r="IC78" s="975"/>
      <c r="ID78" s="975"/>
      <c r="IE78" s="975"/>
      <c r="IF78" s="975"/>
      <c r="IG78" s="975"/>
      <c r="IH78" s="975"/>
      <c r="II78" s="975"/>
      <c r="IJ78" s="975"/>
      <c r="IK78" s="975"/>
      <c r="IL78" s="975"/>
      <c r="IM78" s="975"/>
      <c r="IN78" s="975"/>
      <c r="IO78" s="975"/>
      <c r="IP78" s="975"/>
      <c r="IQ78" s="975"/>
      <c r="IR78" s="975"/>
      <c r="IS78" s="975"/>
      <c r="IT78" s="975"/>
      <c r="IU78" s="975"/>
    </row>
    <row r="79" spans="1:255" ht="33">
      <c r="A79" s="974" t="s">
        <v>19</v>
      </c>
      <c r="B79" s="962" t="s">
        <v>809</v>
      </c>
      <c r="C79" s="1002">
        <v>921</v>
      </c>
      <c r="D79" s="307">
        <v>941</v>
      </c>
      <c r="E79" s="306">
        <f t="shared" si="2"/>
        <v>20</v>
      </c>
      <c r="F79" s="975"/>
      <c r="G79" s="975"/>
      <c r="H79" s="975"/>
      <c r="I79" s="975"/>
      <c r="J79" s="975"/>
      <c r="K79" s="975"/>
      <c r="L79" s="975"/>
      <c r="M79" s="975"/>
      <c r="N79" s="975"/>
      <c r="O79" s="975"/>
      <c r="P79" s="975"/>
      <c r="Q79" s="975"/>
      <c r="R79" s="975"/>
      <c r="S79" s="975"/>
      <c r="T79" s="975"/>
      <c r="U79" s="975"/>
      <c r="V79" s="975"/>
      <c r="W79" s="975"/>
      <c r="X79" s="975"/>
      <c r="Y79" s="975"/>
      <c r="Z79" s="975"/>
      <c r="AA79" s="975"/>
      <c r="AB79" s="975"/>
      <c r="AC79" s="975"/>
      <c r="AD79" s="975"/>
      <c r="AE79" s="975"/>
      <c r="AF79" s="975"/>
      <c r="AG79" s="975"/>
      <c r="AH79" s="975"/>
      <c r="AI79" s="975"/>
      <c r="AJ79" s="975"/>
      <c r="AK79" s="975"/>
      <c r="AL79" s="975"/>
      <c r="AM79" s="975"/>
      <c r="AN79" s="975"/>
      <c r="AO79" s="975"/>
      <c r="AP79" s="975"/>
      <c r="AQ79" s="975"/>
      <c r="AR79" s="975"/>
      <c r="AS79" s="975"/>
      <c r="AT79" s="975"/>
      <c r="AU79" s="975"/>
      <c r="AV79" s="975"/>
      <c r="AW79" s="975"/>
      <c r="AX79" s="975"/>
      <c r="AY79" s="975"/>
      <c r="AZ79" s="975"/>
      <c r="BA79" s="975"/>
      <c r="BB79" s="975"/>
      <c r="BC79" s="975"/>
      <c r="BD79" s="975"/>
      <c r="BE79" s="975"/>
      <c r="BF79" s="975"/>
      <c r="BG79" s="975"/>
      <c r="BH79" s="975"/>
      <c r="BI79" s="975"/>
      <c r="BJ79" s="975"/>
      <c r="BK79" s="975"/>
      <c r="BL79" s="975"/>
      <c r="BM79" s="975"/>
      <c r="BN79" s="975"/>
      <c r="BO79" s="975"/>
      <c r="BP79" s="975"/>
      <c r="BQ79" s="975"/>
      <c r="BR79" s="975"/>
      <c r="BS79" s="975"/>
      <c r="BT79" s="975"/>
      <c r="BU79" s="975"/>
      <c r="BV79" s="975"/>
      <c r="BW79" s="975"/>
      <c r="BX79" s="975"/>
      <c r="BY79" s="975"/>
      <c r="BZ79" s="975"/>
      <c r="CA79" s="975"/>
      <c r="CB79" s="975"/>
      <c r="CC79" s="975"/>
      <c r="CD79" s="975"/>
      <c r="CE79" s="975"/>
      <c r="CF79" s="975"/>
      <c r="CG79" s="975"/>
      <c r="CH79" s="975"/>
      <c r="CI79" s="975"/>
      <c r="CJ79" s="975"/>
      <c r="CK79" s="975"/>
      <c r="CL79" s="975"/>
      <c r="CM79" s="975"/>
      <c r="CN79" s="975"/>
      <c r="CO79" s="975"/>
      <c r="CP79" s="975"/>
      <c r="CQ79" s="975"/>
      <c r="CR79" s="975"/>
      <c r="CS79" s="975"/>
      <c r="CT79" s="975"/>
      <c r="CU79" s="975"/>
      <c r="CV79" s="975"/>
      <c r="CW79" s="975"/>
      <c r="CX79" s="975"/>
      <c r="CY79" s="975"/>
      <c r="CZ79" s="975"/>
      <c r="DA79" s="975"/>
      <c r="DB79" s="975"/>
      <c r="DC79" s="975"/>
      <c r="DD79" s="975"/>
      <c r="DE79" s="975"/>
      <c r="DF79" s="975"/>
      <c r="DG79" s="975"/>
      <c r="DH79" s="975"/>
      <c r="DI79" s="975"/>
      <c r="DJ79" s="975"/>
      <c r="DK79" s="975"/>
      <c r="DL79" s="975"/>
      <c r="DM79" s="975"/>
      <c r="DN79" s="975"/>
      <c r="DO79" s="975"/>
      <c r="DP79" s="975"/>
      <c r="DQ79" s="975"/>
      <c r="DR79" s="975"/>
      <c r="DS79" s="975"/>
      <c r="DT79" s="975"/>
      <c r="DU79" s="975"/>
      <c r="DV79" s="975"/>
      <c r="DW79" s="975"/>
      <c r="DX79" s="975"/>
      <c r="DY79" s="975"/>
      <c r="DZ79" s="975"/>
      <c r="EA79" s="975"/>
      <c r="EB79" s="975"/>
      <c r="EC79" s="975"/>
      <c r="ED79" s="975"/>
      <c r="EE79" s="975"/>
      <c r="EF79" s="975"/>
      <c r="EG79" s="975"/>
      <c r="EH79" s="975"/>
      <c r="EI79" s="975"/>
      <c r="EJ79" s="975"/>
      <c r="EK79" s="975"/>
      <c r="EL79" s="975"/>
      <c r="EM79" s="975"/>
      <c r="EN79" s="975"/>
      <c r="EO79" s="975"/>
      <c r="EP79" s="975"/>
      <c r="EQ79" s="975"/>
      <c r="ER79" s="975"/>
      <c r="ES79" s="975"/>
      <c r="ET79" s="975"/>
      <c r="EU79" s="975"/>
      <c r="EV79" s="975"/>
      <c r="EW79" s="975"/>
      <c r="EX79" s="975"/>
      <c r="EY79" s="975"/>
      <c r="EZ79" s="975"/>
      <c r="FA79" s="975"/>
      <c r="FB79" s="975"/>
      <c r="FC79" s="975"/>
      <c r="FD79" s="975"/>
      <c r="FE79" s="975"/>
      <c r="FF79" s="975"/>
      <c r="FG79" s="975"/>
      <c r="FH79" s="975"/>
      <c r="FI79" s="975"/>
      <c r="FJ79" s="975"/>
      <c r="FK79" s="975"/>
      <c r="FL79" s="975"/>
      <c r="FM79" s="975"/>
      <c r="FN79" s="975"/>
      <c r="FO79" s="975"/>
      <c r="FP79" s="975"/>
      <c r="FQ79" s="975"/>
      <c r="FR79" s="975"/>
      <c r="FS79" s="975"/>
      <c r="FT79" s="975"/>
      <c r="FU79" s="975"/>
      <c r="FV79" s="975"/>
      <c r="FW79" s="975"/>
      <c r="FX79" s="975"/>
      <c r="FY79" s="975"/>
      <c r="FZ79" s="975"/>
      <c r="GA79" s="975"/>
      <c r="GB79" s="975"/>
      <c r="GC79" s="975"/>
      <c r="GD79" s="975"/>
      <c r="GE79" s="975"/>
      <c r="GF79" s="975"/>
      <c r="GG79" s="975"/>
      <c r="GH79" s="975"/>
      <c r="GI79" s="975"/>
      <c r="GJ79" s="975"/>
      <c r="GK79" s="975"/>
      <c r="GL79" s="975"/>
      <c r="GM79" s="975"/>
      <c r="GN79" s="975"/>
      <c r="GO79" s="975"/>
      <c r="GP79" s="975"/>
      <c r="GQ79" s="975"/>
      <c r="GR79" s="975"/>
      <c r="GS79" s="975"/>
      <c r="GT79" s="975"/>
      <c r="GU79" s="975"/>
      <c r="GV79" s="975"/>
      <c r="GW79" s="975"/>
      <c r="GX79" s="975"/>
      <c r="GY79" s="975"/>
      <c r="GZ79" s="975"/>
      <c r="HA79" s="975"/>
      <c r="HB79" s="975"/>
      <c r="HC79" s="975"/>
      <c r="HD79" s="975"/>
      <c r="HE79" s="975"/>
      <c r="HF79" s="975"/>
      <c r="HG79" s="975"/>
      <c r="HH79" s="975"/>
      <c r="HI79" s="975"/>
      <c r="HJ79" s="975"/>
      <c r="HK79" s="975"/>
      <c r="HL79" s="975"/>
      <c r="HM79" s="975"/>
      <c r="HN79" s="975"/>
      <c r="HO79" s="975"/>
      <c r="HP79" s="975"/>
      <c r="HQ79" s="975"/>
      <c r="HR79" s="975"/>
      <c r="HS79" s="975"/>
      <c r="HT79" s="975"/>
      <c r="HU79" s="975"/>
      <c r="HV79" s="975"/>
      <c r="HW79" s="975"/>
      <c r="HX79" s="975"/>
      <c r="HY79" s="975"/>
      <c r="HZ79" s="975"/>
      <c r="IA79" s="975"/>
      <c r="IB79" s="975"/>
      <c r="IC79" s="975"/>
      <c r="ID79" s="975"/>
      <c r="IE79" s="975"/>
      <c r="IF79" s="975"/>
      <c r="IG79" s="975"/>
      <c r="IH79" s="975"/>
      <c r="II79" s="975"/>
      <c r="IJ79" s="975"/>
      <c r="IK79" s="975"/>
      <c r="IL79" s="975"/>
      <c r="IM79" s="975"/>
      <c r="IN79" s="975"/>
      <c r="IO79" s="975"/>
      <c r="IP79" s="975"/>
      <c r="IQ79" s="975"/>
      <c r="IR79" s="975"/>
      <c r="IS79" s="975"/>
      <c r="IT79" s="975"/>
      <c r="IU79" s="975"/>
    </row>
    <row r="80" spans="1:255" ht="33">
      <c r="A80" s="974" t="s">
        <v>19</v>
      </c>
      <c r="B80" s="962" t="s">
        <v>826</v>
      </c>
      <c r="C80" s="307">
        <v>0</v>
      </c>
      <c r="D80" s="954">
        <v>741</v>
      </c>
      <c r="E80" s="306">
        <f t="shared" si="2"/>
        <v>741</v>
      </c>
      <c r="F80" s="975"/>
      <c r="G80" s="975"/>
      <c r="H80" s="975"/>
      <c r="I80" s="975"/>
      <c r="J80" s="975"/>
      <c r="K80" s="975"/>
      <c r="L80" s="975"/>
      <c r="M80" s="975"/>
      <c r="N80" s="975"/>
      <c r="O80" s="975"/>
      <c r="P80" s="975"/>
      <c r="Q80" s="975"/>
      <c r="R80" s="975"/>
      <c r="S80" s="975"/>
      <c r="T80" s="975"/>
      <c r="U80" s="975"/>
      <c r="V80" s="975"/>
      <c r="W80" s="975"/>
      <c r="X80" s="975"/>
      <c r="Y80" s="975"/>
      <c r="Z80" s="975"/>
      <c r="AA80" s="975"/>
      <c r="AB80" s="975"/>
      <c r="AC80" s="975"/>
      <c r="AD80" s="975"/>
      <c r="AE80" s="975"/>
      <c r="AF80" s="975"/>
      <c r="AG80" s="975"/>
      <c r="AH80" s="975"/>
      <c r="AI80" s="975"/>
      <c r="AJ80" s="975"/>
      <c r="AK80" s="975"/>
      <c r="AL80" s="975"/>
      <c r="AM80" s="975"/>
      <c r="AN80" s="975"/>
      <c r="AO80" s="975"/>
      <c r="AP80" s="975"/>
      <c r="AQ80" s="975"/>
      <c r="AR80" s="975"/>
      <c r="AS80" s="975"/>
      <c r="AT80" s="975"/>
      <c r="AU80" s="975"/>
      <c r="AV80" s="975"/>
      <c r="AW80" s="975"/>
      <c r="AX80" s="975"/>
      <c r="AY80" s="975"/>
      <c r="AZ80" s="975"/>
      <c r="BA80" s="975"/>
      <c r="BB80" s="975"/>
      <c r="BC80" s="975"/>
      <c r="BD80" s="975"/>
      <c r="BE80" s="975"/>
      <c r="BF80" s="975"/>
      <c r="BG80" s="975"/>
      <c r="BH80" s="975"/>
      <c r="BI80" s="975"/>
      <c r="BJ80" s="975"/>
      <c r="BK80" s="975"/>
      <c r="BL80" s="975"/>
      <c r="BM80" s="975"/>
      <c r="BN80" s="975"/>
      <c r="BO80" s="975"/>
      <c r="BP80" s="975"/>
      <c r="BQ80" s="975"/>
      <c r="BR80" s="975"/>
      <c r="BS80" s="975"/>
      <c r="BT80" s="975"/>
      <c r="BU80" s="975"/>
      <c r="BV80" s="975"/>
      <c r="BW80" s="975"/>
      <c r="BX80" s="975"/>
      <c r="BY80" s="975"/>
      <c r="BZ80" s="975"/>
      <c r="CA80" s="975"/>
      <c r="CB80" s="975"/>
      <c r="CC80" s="975"/>
      <c r="CD80" s="975"/>
      <c r="CE80" s="975"/>
      <c r="CF80" s="975"/>
      <c r="CG80" s="975"/>
      <c r="CH80" s="975"/>
      <c r="CI80" s="975"/>
      <c r="CJ80" s="975"/>
      <c r="CK80" s="975"/>
      <c r="CL80" s="975"/>
      <c r="CM80" s="975"/>
      <c r="CN80" s="975"/>
      <c r="CO80" s="975"/>
      <c r="CP80" s="975"/>
      <c r="CQ80" s="975"/>
      <c r="CR80" s="975"/>
      <c r="CS80" s="975"/>
      <c r="CT80" s="975"/>
      <c r="CU80" s="975"/>
      <c r="CV80" s="975"/>
      <c r="CW80" s="975"/>
      <c r="CX80" s="975"/>
      <c r="CY80" s="975"/>
      <c r="CZ80" s="975"/>
      <c r="DA80" s="975"/>
      <c r="DB80" s="975"/>
      <c r="DC80" s="975"/>
      <c r="DD80" s="975"/>
      <c r="DE80" s="975"/>
      <c r="DF80" s="975"/>
      <c r="DG80" s="975"/>
      <c r="DH80" s="975"/>
      <c r="DI80" s="975"/>
      <c r="DJ80" s="975"/>
      <c r="DK80" s="975"/>
      <c r="DL80" s="975"/>
      <c r="DM80" s="975"/>
      <c r="DN80" s="975"/>
      <c r="DO80" s="975"/>
      <c r="DP80" s="975"/>
      <c r="DQ80" s="975"/>
      <c r="DR80" s="975"/>
      <c r="DS80" s="975"/>
      <c r="DT80" s="975"/>
      <c r="DU80" s="975"/>
      <c r="DV80" s="975"/>
      <c r="DW80" s="975"/>
      <c r="DX80" s="975"/>
      <c r="DY80" s="975"/>
      <c r="DZ80" s="975"/>
      <c r="EA80" s="975"/>
      <c r="EB80" s="975"/>
      <c r="EC80" s="975"/>
      <c r="ED80" s="975"/>
      <c r="EE80" s="975"/>
      <c r="EF80" s="975"/>
      <c r="EG80" s="975"/>
      <c r="EH80" s="975"/>
      <c r="EI80" s="975"/>
      <c r="EJ80" s="975"/>
      <c r="EK80" s="975"/>
      <c r="EL80" s="975"/>
      <c r="EM80" s="975"/>
      <c r="EN80" s="975"/>
      <c r="EO80" s="975"/>
      <c r="EP80" s="975"/>
      <c r="EQ80" s="975"/>
      <c r="ER80" s="975"/>
      <c r="ES80" s="975"/>
      <c r="ET80" s="975"/>
      <c r="EU80" s="975"/>
      <c r="EV80" s="975"/>
      <c r="EW80" s="975"/>
      <c r="EX80" s="975"/>
      <c r="EY80" s="975"/>
      <c r="EZ80" s="975"/>
      <c r="FA80" s="975"/>
      <c r="FB80" s="975"/>
      <c r="FC80" s="975"/>
      <c r="FD80" s="975"/>
      <c r="FE80" s="975"/>
      <c r="FF80" s="975"/>
      <c r="FG80" s="975"/>
      <c r="FH80" s="975"/>
      <c r="FI80" s="975"/>
      <c r="FJ80" s="975"/>
      <c r="FK80" s="975"/>
      <c r="FL80" s="975"/>
      <c r="FM80" s="975"/>
      <c r="FN80" s="975"/>
      <c r="FO80" s="975"/>
      <c r="FP80" s="975"/>
      <c r="FQ80" s="975"/>
      <c r="FR80" s="975"/>
      <c r="FS80" s="975"/>
      <c r="FT80" s="975"/>
      <c r="FU80" s="975"/>
      <c r="FV80" s="975"/>
      <c r="FW80" s="975"/>
      <c r="FX80" s="975"/>
      <c r="FY80" s="975"/>
      <c r="FZ80" s="975"/>
      <c r="GA80" s="975"/>
      <c r="GB80" s="975"/>
      <c r="GC80" s="975"/>
      <c r="GD80" s="975"/>
      <c r="GE80" s="975"/>
      <c r="GF80" s="975"/>
      <c r="GG80" s="975"/>
      <c r="GH80" s="975"/>
      <c r="GI80" s="975"/>
      <c r="GJ80" s="975"/>
      <c r="GK80" s="975"/>
      <c r="GL80" s="975"/>
      <c r="GM80" s="975"/>
      <c r="GN80" s="975"/>
      <c r="GO80" s="975"/>
      <c r="GP80" s="975"/>
      <c r="GQ80" s="975"/>
      <c r="GR80" s="975"/>
      <c r="GS80" s="975"/>
      <c r="GT80" s="975"/>
      <c r="GU80" s="975"/>
      <c r="GV80" s="975"/>
      <c r="GW80" s="975"/>
      <c r="GX80" s="975"/>
      <c r="GY80" s="975"/>
      <c r="GZ80" s="975"/>
      <c r="HA80" s="975"/>
      <c r="HB80" s="975"/>
      <c r="HC80" s="975"/>
      <c r="HD80" s="975"/>
      <c r="HE80" s="975"/>
      <c r="HF80" s="975"/>
      <c r="HG80" s="975"/>
      <c r="HH80" s="975"/>
      <c r="HI80" s="975"/>
      <c r="HJ80" s="975"/>
      <c r="HK80" s="975"/>
      <c r="HL80" s="975"/>
      <c r="HM80" s="975"/>
      <c r="HN80" s="975"/>
      <c r="HO80" s="975"/>
      <c r="HP80" s="975"/>
      <c r="HQ80" s="975"/>
      <c r="HR80" s="975"/>
      <c r="HS80" s="975"/>
      <c r="HT80" s="975"/>
      <c r="HU80" s="975"/>
      <c r="HV80" s="975"/>
      <c r="HW80" s="975"/>
      <c r="HX80" s="975"/>
      <c r="HY80" s="975"/>
      <c r="HZ80" s="975"/>
      <c r="IA80" s="975"/>
      <c r="IB80" s="975"/>
      <c r="IC80" s="975"/>
      <c r="ID80" s="975"/>
      <c r="IE80" s="975"/>
      <c r="IF80" s="975"/>
      <c r="IG80" s="975"/>
      <c r="IH80" s="975"/>
      <c r="II80" s="975"/>
      <c r="IJ80" s="975"/>
      <c r="IK80" s="975"/>
      <c r="IL80" s="975"/>
      <c r="IM80" s="975"/>
      <c r="IN80" s="975"/>
      <c r="IO80" s="975"/>
      <c r="IP80" s="975"/>
      <c r="IQ80" s="975"/>
      <c r="IR80" s="975"/>
      <c r="IS80" s="975"/>
      <c r="IT80" s="975"/>
      <c r="IU80" s="975"/>
    </row>
    <row r="81" spans="1:255" ht="49.5" hidden="1" outlineLevel="1">
      <c r="A81" s="974" t="s">
        <v>19</v>
      </c>
      <c r="B81" s="962" t="s">
        <v>811</v>
      </c>
      <c r="C81" s="307"/>
      <c r="D81" s="307">
        <v>0</v>
      </c>
      <c r="E81" s="306">
        <f t="shared" si="2"/>
        <v>0</v>
      </c>
      <c r="F81" s="975"/>
      <c r="G81" s="975"/>
      <c r="H81" s="975"/>
      <c r="I81" s="975"/>
      <c r="J81" s="975"/>
      <c r="K81" s="975"/>
      <c r="L81" s="975"/>
      <c r="M81" s="975"/>
      <c r="N81" s="975"/>
      <c r="O81" s="975"/>
      <c r="P81" s="975"/>
      <c r="Q81" s="975"/>
      <c r="R81" s="975"/>
      <c r="S81" s="975"/>
      <c r="T81" s="975"/>
      <c r="U81" s="975"/>
      <c r="V81" s="975"/>
      <c r="W81" s="975"/>
      <c r="X81" s="975"/>
      <c r="Y81" s="975"/>
      <c r="Z81" s="975"/>
      <c r="AA81" s="975"/>
      <c r="AB81" s="975"/>
      <c r="AC81" s="975"/>
      <c r="AD81" s="975"/>
      <c r="AE81" s="975"/>
      <c r="AF81" s="975"/>
      <c r="AG81" s="975"/>
      <c r="AH81" s="975"/>
      <c r="AI81" s="975"/>
      <c r="AJ81" s="975"/>
      <c r="AK81" s="975"/>
      <c r="AL81" s="975"/>
      <c r="AM81" s="975"/>
      <c r="AN81" s="975"/>
      <c r="AO81" s="975"/>
      <c r="AP81" s="975"/>
      <c r="AQ81" s="975"/>
      <c r="AR81" s="975"/>
      <c r="AS81" s="975"/>
      <c r="AT81" s="975"/>
      <c r="AU81" s="975"/>
      <c r="AV81" s="975"/>
      <c r="AW81" s="975"/>
      <c r="AX81" s="975"/>
      <c r="AY81" s="975"/>
      <c r="AZ81" s="975"/>
      <c r="BA81" s="975"/>
      <c r="BB81" s="975"/>
      <c r="BC81" s="975"/>
      <c r="BD81" s="975"/>
      <c r="BE81" s="975"/>
      <c r="BF81" s="975"/>
      <c r="BG81" s="975"/>
      <c r="BH81" s="975"/>
      <c r="BI81" s="975"/>
      <c r="BJ81" s="975"/>
      <c r="BK81" s="975"/>
      <c r="BL81" s="975"/>
      <c r="BM81" s="975"/>
      <c r="BN81" s="975"/>
      <c r="BO81" s="975"/>
      <c r="BP81" s="975"/>
      <c r="BQ81" s="975"/>
      <c r="BR81" s="975"/>
      <c r="BS81" s="975"/>
      <c r="BT81" s="975"/>
      <c r="BU81" s="975"/>
      <c r="BV81" s="975"/>
      <c r="BW81" s="975"/>
      <c r="BX81" s="975"/>
      <c r="BY81" s="975"/>
      <c r="BZ81" s="975"/>
      <c r="CA81" s="975"/>
      <c r="CB81" s="975"/>
      <c r="CC81" s="975"/>
      <c r="CD81" s="975"/>
      <c r="CE81" s="975"/>
      <c r="CF81" s="975"/>
      <c r="CG81" s="975"/>
      <c r="CH81" s="975"/>
      <c r="CI81" s="975"/>
      <c r="CJ81" s="975"/>
      <c r="CK81" s="975"/>
      <c r="CL81" s="975"/>
      <c r="CM81" s="975"/>
      <c r="CN81" s="975"/>
      <c r="CO81" s="975"/>
      <c r="CP81" s="975"/>
      <c r="CQ81" s="975"/>
      <c r="CR81" s="975"/>
      <c r="CS81" s="975"/>
      <c r="CT81" s="975"/>
      <c r="CU81" s="975"/>
      <c r="CV81" s="975"/>
      <c r="CW81" s="975"/>
      <c r="CX81" s="975"/>
      <c r="CY81" s="975"/>
      <c r="CZ81" s="975"/>
      <c r="DA81" s="975"/>
      <c r="DB81" s="975"/>
      <c r="DC81" s="975"/>
      <c r="DD81" s="975"/>
      <c r="DE81" s="975"/>
      <c r="DF81" s="975"/>
      <c r="DG81" s="975"/>
      <c r="DH81" s="975"/>
      <c r="DI81" s="975"/>
      <c r="DJ81" s="975"/>
      <c r="DK81" s="975"/>
      <c r="DL81" s="975"/>
      <c r="DM81" s="975"/>
      <c r="DN81" s="975"/>
      <c r="DO81" s="975"/>
      <c r="DP81" s="975"/>
      <c r="DQ81" s="975"/>
      <c r="DR81" s="975"/>
      <c r="DS81" s="975"/>
      <c r="DT81" s="975"/>
      <c r="DU81" s="975"/>
      <c r="DV81" s="975"/>
      <c r="DW81" s="975"/>
      <c r="DX81" s="975"/>
      <c r="DY81" s="975"/>
      <c r="DZ81" s="975"/>
      <c r="EA81" s="975"/>
      <c r="EB81" s="975"/>
      <c r="EC81" s="975"/>
      <c r="ED81" s="975"/>
      <c r="EE81" s="975"/>
      <c r="EF81" s="975"/>
      <c r="EG81" s="975"/>
      <c r="EH81" s="975"/>
      <c r="EI81" s="975"/>
      <c r="EJ81" s="975"/>
      <c r="EK81" s="975"/>
      <c r="EL81" s="975"/>
      <c r="EM81" s="975"/>
      <c r="EN81" s="975"/>
      <c r="EO81" s="975"/>
      <c r="EP81" s="975"/>
      <c r="EQ81" s="975"/>
      <c r="ER81" s="975"/>
      <c r="ES81" s="975"/>
      <c r="ET81" s="975"/>
      <c r="EU81" s="975"/>
      <c r="EV81" s="975"/>
      <c r="EW81" s="975"/>
      <c r="EX81" s="975"/>
      <c r="EY81" s="975"/>
      <c r="EZ81" s="975"/>
      <c r="FA81" s="975"/>
      <c r="FB81" s="975"/>
      <c r="FC81" s="975"/>
      <c r="FD81" s="975"/>
      <c r="FE81" s="975"/>
      <c r="FF81" s="975"/>
      <c r="FG81" s="975"/>
      <c r="FH81" s="975"/>
      <c r="FI81" s="975"/>
      <c r="FJ81" s="975"/>
      <c r="FK81" s="975"/>
      <c r="FL81" s="975"/>
      <c r="FM81" s="975"/>
      <c r="FN81" s="975"/>
      <c r="FO81" s="975"/>
      <c r="FP81" s="975"/>
      <c r="FQ81" s="975"/>
      <c r="FR81" s="975"/>
      <c r="FS81" s="975"/>
      <c r="FT81" s="975"/>
      <c r="FU81" s="975"/>
      <c r="FV81" s="975"/>
      <c r="FW81" s="975"/>
      <c r="FX81" s="975"/>
      <c r="FY81" s="975"/>
      <c r="FZ81" s="975"/>
      <c r="GA81" s="975"/>
      <c r="GB81" s="975"/>
      <c r="GC81" s="975"/>
      <c r="GD81" s="975"/>
      <c r="GE81" s="975"/>
      <c r="GF81" s="975"/>
      <c r="GG81" s="975"/>
      <c r="GH81" s="975"/>
      <c r="GI81" s="975"/>
      <c r="GJ81" s="975"/>
      <c r="GK81" s="975"/>
      <c r="GL81" s="975"/>
      <c r="GM81" s="975"/>
      <c r="GN81" s="975"/>
      <c r="GO81" s="975"/>
      <c r="GP81" s="975"/>
      <c r="GQ81" s="975"/>
      <c r="GR81" s="975"/>
      <c r="GS81" s="975"/>
      <c r="GT81" s="975"/>
      <c r="GU81" s="975"/>
      <c r="GV81" s="975"/>
      <c r="GW81" s="975"/>
      <c r="GX81" s="975"/>
      <c r="GY81" s="975"/>
      <c r="GZ81" s="975"/>
      <c r="HA81" s="975"/>
      <c r="HB81" s="975"/>
      <c r="HC81" s="975"/>
      <c r="HD81" s="975"/>
      <c r="HE81" s="975"/>
      <c r="HF81" s="975"/>
      <c r="HG81" s="975"/>
      <c r="HH81" s="975"/>
      <c r="HI81" s="975"/>
      <c r="HJ81" s="975"/>
      <c r="HK81" s="975"/>
      <c r="HL81" s="975"/>
      <c r="HM81" s="975"/>
      <c r="HN81" s="975"/>
      <c r="HO81" s="975"/>
      <c r="HP81" s="975"/>
      <c r="HQ81" s="975"/>
      <c r="HR81" s="975"/>
      <c r="HS81" s="975"/>
      <c r="HT81" s="975"/>
      <c r="HU81" s="975"/>
      <c r="HV81" s="975"/>
      <c r="HW81" s="975"/>
      <c r="HX81" s="975"/>
      <c r="HY81" s="975"/>
      <c r="HZ81" s="975"/>
      <c r="IA81" s="975"/>
      <c r="IB81" s="975"/>
      <c r="IC81" s="975"/>
      <c r="ID81" s="975"/>
      <c r="IE81" s="975"/>
      <c r="IF81" s="975"/>
      <c r="IG81" s="975"/>
      <c r="IH81" s="975"/>
      <c r="II81" s="975"/>
      <c r="IJ81" s="975"/>
      <c r="IK81" s="975"/>
      <c r="IL81" s="975"/>
      <c r="IM81" s="975"/>
      <c r="IN81" s="975"/>
      <c r="IO81" s="975"/>
      <c r="IP81" s="975"/>
      <c r="IQ81" s="975"/>
      <c r="IR81" s="975"/>
      <c r="IS81" s="975"/>
      <c r="IT81" s="975"/>
      <c r="IU81" s="975"/>
    </row>
    <row r="82" spans="1:255" ht="49.5" hidden="1" outlineLevel="1">
      <c r="A82" s="961" t="s">
        <v>19</v>
      </c>
      <c r="B82" s="962" t="s">
        <v>827</v>
      </c>
      <c r="C82" s="307"/>
      <c r="D82" s="307">
        <v>0</v>
      </c>
      <c r="E82" s="306">
        <f t="shared" si="2"/>
        <v>0</v>
      </c>
      <c r="F82" s="975"/>
      <c r="G82" s="975"/>
      <c r="H82" s="975"/>
      <c r="I82" s="975"/>
      <c r="J82" s="975"/>
      <c r="K82" s="975"/>
      <c r="L82" s="975"/>
      <c r="M82" s="975"/>
      <c r="N82" s="975"/>
      <c r="O82" s="975"/>
      <c r="P82" s="975"/>
      <c r="Q82" s="975"/>
      <c r="R82" s="975"/>
      <c r="S82" s="975"/>
      <c r="T82" s="975"/>
      <c r="U82" s="975"/>
      <c r="V82" s="975"/>
      <c r="W82" s="975"/>
      <c r="X82" s="975"/>
      <c r="Y82" s="975"/>
      <c r="Z82" s="975"/>
      <c r="AA82" s="975"/>
      <c r="AB82" s="975"/>
      <c r="AC82" s="975"/>
      <c r="AD82" s="975"/>
      <c r="AE82" s="975"/>
      <c r="AF82" s="975"/>
      <c r="AG82" s="975"/>
      <c r="AH82" s="975"/>
      <c r="AI82" s="975"/>
      <c r="AJ82" s="975"/>
      <c r="AK82" s="975"/>
      <c r="AL82" s="975"/>
      <c r="AM82" s="975"/>
      <c r="AN82" s="975"/>
      <c r="AO82" s="975"/>
      <c r="AP82" s="975"/>
      <c r="AQ82" s="975"/>
      <c r="AR82" s="975"/>
      <c r="AS82" s="975"/>
      <c r="AT82" s="975"/>
      <c r="AU82" s="975"/>
      <c r="AV82" s="975"/>
      <c r="AW82" s="975"/>
      <c r="AX82" s="975"/>
      <c r="AY82" s="975"/>
      <c r="AZ82" s="975"/>
      <c r="BA82" s="975"/>
      <c r="BB82" s="975"/>
      <c r="BC82" s="975"/>
      <c r="BD82" s="975"/>
      <c r="BE82" s="975"/>
      <c r="BF82" s="975"/>
      <c r="BG82" s="975"/>
      <c r="BH82" s="975"/>
      <c r="BI82" s="975"/>
      <c r="BJ82" s="975"/>
      <c r="BK82" s="975"/>
      <c r="BL82" s="975"/>
      <c r="BM82" s="975"/>
      <c r="BN82" s="975"/>
      <c r="BO82" s="975"/>
      <c r="BP82" s="975"/>
      <c r="BQ82" s="975"/>
      <c r="BR82" s="975"/>
      <c r="BS82" s="975"/>
      <c r="BT82" s="975"/>
      <c r="BU82" s="975"/>
      <c r="BV82" s="975"/>
      <c r="BW82" s="975"/>
      <c r="BX82" s="975"/>
      <c r="BY82" s="975"/>
      <c r="BZ82" s="975"/>
      <c r="CA82" s="975"/>
      <c r="CB82" s="975"/>
      <c r="CC82" s="975"/>
      <c r="CD82" s="975"/>
      <c r="CE82" s="975"/>
      <c r="CF82" s="975"/>
      <c r="CG82" s="975"/>
      <c r="CH82" s="975"/>
      <c r="CI82" s="975"/>
      <c r="CJ82" s="975"/>
      <c r="CK82" s="975"/>
      <c r="CL82" s="975"/>
      <c r="CM82" s="975"/>
      <c r="CN82" s="975"/>
      <c r="CO82" s="975"/>
      <c r="CP82" s="975"/>
      <c r="CQ82" s="975"/>
      <c r="CR82" s="975"/>
      <c r="CS82" s="975"/>
      <c r="CT82" s="975"/>
      <c r="CU82" s="975"/>
      <c r="CV82" s="975"/>
      <c r="CW82" s="975"/>
      <c r="CX82" s="975"/>
      <c r="CY82" s="975"/>
      <c r="CZ82" s="975"/>
      <c r="DA82" s="975"/>
      <c r="DB82" s="975"/>
      <c r="DC82" s="975"/>
      <c r="DD82" s="975"/>
      <c r="DE82" s="975"/>
      <c r="DF82" s="975"/>
      <c r="DG82" s="975"/>
      <c r="DH82" s="975"/>
      <c r="DI82" s="975"/>
      <c r="DJ82" s="975"/>
      <c r="DK82" s="975"/>
      <c r="DL82" s="975"/>
      <c r="DM82" s="975"/>
      <c r="DN82" s="975"/>
      <c r="DO82" s="975"/>
      <c r="DP82" s="975"/>
      <c r="DQ82" s="975"/>
      <c r="DR82" s="975"/>
      <c r="DS82" s="975"/>
      <c r="DT82" s="975"/>
      <c r="DU82" s="975"/>
      <c r="DV82" s="975"/>
      <c r="DW82" s="975"/>
      <c r="DX82" s="975"/>
      <c r="DY82" s="975"/>
      <c r="DZ82" s="975"/>
      <c r="EA82" s="975"/>
      <c r="EB82" s="975"/>
      <c r="EC82" s="975"/>
      <c r="ED82" s="975"/>
      <c r="EE82" s="975"/>
      <c r="EF82" s="975"/>
      <c r="EG82" s="975"/>
      <c r="EH82" s="975"/>
      <c r="EI82" s="975"/>
      <c r="EJ82" s="975"/>
      <c r="EK82" s="975"/>
      <c r="EL82" s="975"/>
      <c r="EM82" s="975"/>
      <c r="EN82" s="975"/>
      <c r="EO82" s="975"/>
      <c r="EP82" s="975"/>
      <c r="EQ82" s="975"/>
      <c r="ER82" s="975"/>
      <c r="ES82" s="975"/>
      <c r="ET82" s="975"/>
      <c r="EU82" s="975"/>
      <c r="EV82" s="975"/>
      <c r="EW82" s="975"/>
      <c r="EX82" s="975"/>
      <c r="EY82" s="975"/>
      <c r="EZ82" s="975"/>
      <c r="FA82" s="975"/>
      <c r="FB82" s="975"/>
      <c r="FC82" s="975"/>
      <c r="FD82" s="975"/>
      <c r="FE82" s="975"/>
      <c r="FF82" s="975"/>
      <c r="FG82" s="975"/>
      <c r="FH82" s="975"/>
      <c r="FI82" s="975"/>
      <c r="FJ82" s="975"/>
      <c r="FK82" s="975"/>
      <c r="FL82" s="975"/>
      <c r="FM82" s="975"/>
      <c r="FN82" s="975"/>
      <c r="FO82" s="975"/>
      <c r="FP82" s="975"/>
      <c r="FQ82" s="975"/>
      <c r="FR82" s="975"/>
      <c r="FS82" s="975"/>
      <c r="FT82" s="975"/>
      <c r="FU82" s="975"/>
      <c r="FV82" s="975"/>
      <c r="FW82" s="975"/>
      <c r="FX82" s="975"/>
      <c r="FY82" s="975"/>
      <c r="FZ82" s="975"/>
      <c r="GA82" s="975"/>
      <c r="GB82" s="975"/>
      <c r="GC82" s="975"/>
      <c r="GD82" s="975"/>
      <c r="GE82" s="975"/>
      <c r="GF82" s="975"/>
      <c r="GG82" s="975"/>
      <c r="GH82" s="975"/>
      <c r="GI82" s="975"/>
      <c r="GJ82" s="975"/>
      <c r="GK82" s="975"/>
      <c r="GL82" s="975"/>
      <c r="GM82" s="975"/>
      <c r="GN82" s="975"/>
      <c r="GO82" s="975"/>
      <c r="GP82" s="975"/>
      <c r="GQ82" s="975"/>
      <c r="GR82" s="975"/>
      <c r="GS82" s="975"/>
      <c r="GT82" s="975"/>
      <c r="GU82" s="975"/>
      <c r="GV82" s="975"/>
      <c r="GW82" s="975"/>
      <c r="GX82" s="975"/>
      <c r="GY82" s="975"/>
      <c r="GZ82" s="975"/>
      <c r="HA82" s="975"/>
      <c r="HB82" s="975"/>
      <c r="HC82" s="975"/>
      <c r="HD82" s="975"/>
      <c r="HE82" s="975"/>
      <c r="HF82" s="975"/>
      <c r="HG82" s="975"/>
      <c r="HH82" s="975"/>
      <c r="HI82" s="975"/>
      <c r="HJ82" s="975"/>
      <c r="HK82" s="975"/>
      <c r="HL82" s="975"/>
      <c r="HM82" s="975"/>
      <c r="HN82" s="975"/>
      <c r="HO82" s="975"/>
      <c r="HP82" s="975"/>
      <c r="HQ82" s="975"/>
      <c r="HR82" s="975"/>
      <c r="HS82" s="975"/>
      <c r="HT82" s="975"/>
      <c r="HU82" s="975"/>
      <c r="HV82" s="975"/>
      <c r="HW82" s="975"/>
      <c r="HX82" s="975"/>
      <c r="HY82" s="975"/>
      <c r="HZ82" s="975"/>
      <c r="IA82" s="975"/>
      <c r="IB82" s="975"/>
      <c r="IC82" s="975"/>
      <c r="ID82" s="975"/>
      <c r="IE82" s="975"/>
      <c r="IF82" s="975"/>
      <c r="IG82" s="975"/>
      <c r="IH82" s="975"/>
      <c r="II82" s="975"/>
      <c r="IJ82" s="975"/>
      <c r="IK82" s="975"/>
      <c r="IL82" s="975"/>
      <c r="IM82" s="975"/>
      <c r="IN82" s="975"/>
      <c r="IO82" s="975"/>
      <c r="IP82" s="975"/>
      <c r="IQ82" s="975"/>
      <c r="IR82" s="975"/>
      <c r="IS82" s="975"/>
      <c r="IT82" s="975"/>
      <c r="IU82" s="975"/>
    </row>
    <row r="83" spans="1:255" ht="33" hidden="1" outlineLevel="1">
      <c r="A83" s="961" t="s">
        <v>19</v>
      </c>
      <c r="B83" s="962" t="s">
        <v>828</v>
      </c>
      <c r="C83" s="307"/>
      <c r="D83" s="307">
        <v>0</v>
      </c>
      <c r="E83" s="306">
        <f t="shared" si="2"/>
        <v>0</v>
      </c>
      <c r="F83" s="975"/>
      <c r="G83" s="975"/>
      <c r="H83" s="975"/>
      <c r="I83" s="975"/>
      <c r="J83" s="975"/>
      <c r="K83" s="975"/>
      <c r="L83" s="975"/>
      <c r="M83" s="975"/>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5"/>
      <c r="AK83" s="975"/>
      <c r="AL83" s="975"/>
      <c r="AM83" s="975"/>
      <c r="AN83" s="975"/>
      <c r="AO83" s="975"/>
      <c r="AP83" s="975"/>
      <c r="AQ83" s="975"/>
      <c r="AR83" s="975"/>
      <c r="AS83" s="975"/>
      <c r="AT83" s="975"/>
      <c r="AU83" s="975"/>
      <c r="AV83" s="975"/>
      <c r="AW83" s="975"/>
      <c r="AX83" s="975"/>
      <c r="AY83" s="975"/>
      <c r="AZ83" s="975"/>
      <c r="BA83" s="975"/>
      <c r="BB83" s="975"/>
      <c r="BC83" s="975"/>
      <c r="BD83" s="975"/>
      <c r="BE83" s="975"/>
      <c r="BF83" s="975"/>
      <c r="BG83" s="975"/>
      <c r="BH83" s="975"/>
      <c r="BI83" s="975"/>
      <c r="BJ83" s="975"/>
      <c r="BK83" s="975"/>
      <c r="BL83" s="975"/>
      <c r="BM83" s="975"/>
      <c r="BN83" s="975"/>
      <c r="BO83" s="975"/>
      <c r="BP83" s="975"/>
      <c r="BQ83" s="975"/>
      <c r="BR83" s="975"/>
      <c r="BS83" s="975"/>
      <c r="BT83" s="975"/>
      <c r="BU83" s="975"/>
      <c r="BV83" s="975"/>
      <c r="BW83" s="975"/>
      <c r="BX83" s="975"/>
      <c r="BY83" s="975"/>
      <c r="BZ83" s="975"/>
      <c r="CA83" s="975"/>
      <c r="CB83" s="975"/>
      <c r="CC83" s="975"/>
      <c r="CD83" s="975"/>
      <c r="CE83" s="975"/>
      <c r="CF83" s="975"/>
      <c r="CG83" s="975"/>
      <c r="CH83" s="975"/>
      <c r="CI83" s="975"/>
      <c r="CJ83" s="975"/>
      <c r="CK83" s="975"/>
      <c r="CL83" s="975"/>
      <c r="CM83" s="975"/>
      <c r="CN83" s="975"/>
      <c r="CO83" s="975"/>
      <c r="CP83" s="975"/>
      <c r="CQ83" s="975"/>
      <c r="CR83" s="975"/>
      <c r="CS83" s="975"/>
      <c r="CT83" s="975"/>
      <c r="CU83" s="975"/>
      <c r="CV83" s="975"/>
      <c r="CW83" s="975"/>
      <c r="CX83" s="975"/>
      <c r="CY83" s="975"/>
      <c r="CZ83" s="975"/>
      <c r="DA83" s="975"/>
      <c r="DB83" s="975"/>
      <c r="DC83" s="975"/>
      <c r="DD83" s="975"/>
      <c r="DE83" s="975"/>
      <c r="DF83" s="975"/>
      <c r="DG83" s="975"/>
      <c r="DH83" s="975"/>
      <c r="DI83" s="975"/>
      <c r="DJ83" s="975"/>
      <c r="DK83" s="975"/>
      <c r="DL83" s="975"/>
      <c r="DM83" s="975"/>
      <c r="DN83" s="975"/>
      <c r="DO83" s="975"/>
      <c r="DP83" s="975"/>
      <c r="DQ83" s="975"/>
      <c r="DR83" s="975"/>
      <c r="DS83" s="975"/>
      <c r="DT83" s="975"/>
      <c r="DU83" s="975"/>
      <c r="DV83" s="975"/>
      <c r="DW83" s="975"/>
      <c r="DX83" s="975"/>
      <c r="DY83" s="975"/>
      <c r="DZ83" s="975"/>
      <c r="EA83" s="975"/>
      <c r="EB83" s="975"/>
      <c r="EC83" s="975"/>
      <c r="ED83" s="975"/>
      <c r="EE83" s="975"/>
      <c r="EF83" s="975"/>
      <c r="EG83" s="975"/>
      <c r="EH83" s="975"/>
      <c r="EI83" s="975"/>
      <c r="EJ83" s="975"/>
      <c r="EK83" s="975"/>
      <c r="EL83" s="975"/>
      <c r="EM83" s="975"/>
      <c r="EN83" s="975"/>
      <c r="EO83" s="975"/>
      <c r="EP83" s="975"/>
      <c r="EQ83" s="975"/>
      <c r="ER83" s="975"/>
      <c r="ES83" s="975"/>
      <c r="ET83" s="975"/>
      <c r="EU83" s="975"/>
      <c r="EV83" s="975"/>
      <c r="EW83" s="975"/>
      <c r="EX83" s="975"/>
      <c r="EY83" s="975"/>
      <c r="EZ83" s="975"/>
      <c r="FA83" s="975"/>
      <c r="FB83" s="975"/>
      <c r="FC83" s="975"/>
      <c r="FD83" s="975"/>
      <c r="FE83" s="975"/>
      <c r="FF83" s="975"/>
      <c r="FG83" s="975"/>
      <c r="FH83" s="975"/>
      <c r="FI83" s="975"/>
      <c r="FJ83" s="975"/>
      <c r="FK83" s="975"/>
      <c r="FL83" s="975"/>
      <c r="FM83" s="975"/>
      <c r="FN83" s="975"/>
      <c r="FO83" s="975"/>
      <c r="FP83" s="975"/>
      <c r="FQ83" s="975"/>
      <c r="FR83" s="975"/>
      <c r="FS83" s="975"/>
      <c r="FT83" s="975"/>
      <c r="FU83" s="975"/>
      <c r="FV83" s="975"/>
      <c r="FW83" s="975"/>
      <c r="FX83" s="975"/>
      <c r="FY83" s="975"/>
      <c r="FZ83" s="975"/>
      <c r="GA83" s="975"/>
      <c r="GB83" s="975"/>
      <c r="GC83" s="975"/>
      <c r="GD83" s="975"/>
      <c r="GE83" s="975"/>
      <c r="GF83" s="975"/>
      <c r="GG83" s="975"/>
      <c r="GH83" s="975"/>
      <c r="GI83" s="975"/>
      <c r="GJ83" s="975"/>
      <c r="GK83" s="975"/>
      <c r="GL83" s="975"/>
      <c r="GM83" s="975"/>
      <c r="GN83" s="975"/>
      <c r="GO83" s="975"/>
      <c r="GP83" s="975"/>
      <c r="GQ83" s="975"/>
      <c r="GR83" s="975"/>
      <c r="GS83" s="975"/>
      <c r="GT83" s="975"/>
      <c r="GU83" s="975"/>
      <c r="GV83" s="975"/>
      <c r="GW83" s="975"/>
      <c r="GX83" s="975"/>
      <c r="GY83" s="975"/>
      <c r="GZ83" s="975"/>
      <c r="HA83" s="975"/>
      <c r="HB83" s="975"/>
      <c r="HC83" s="975"/>
      <c r="HD83" s="975"/>
      <c r="HE83" s="975"/>
      <c r="HF83" s="975"/>
      <c r="HG83" s="975"/>
      <c r="HH83" s="975"/>
      <c r="HI83" s="975"/>
      <c r="HJ83" s="975"/>
      <c r="HK83" s="975"/>
      <c r="HL83" s="975"/>
      <c r="HM83" s="975"/>
      <c r="HN83" s="975"/>
      <c r="HO83" s="975"/>
      <c r="HP83" s="975"/>
      <c r="HQ83" s="975"/>
      <c r="HR83" s="975"/>
      <c r="HS83" s="975"/>
      <c r="HT83" s="975"/>
      <c r="HU83" s="975"/>
      <c r="HV83" s="975"/>
      <c r="HW83" s="975"/>
      <c r="HX83" s="975"/>
      <c r="HY83" s="975"/>
      <c r="HZ83" s="975"/>
      <c r="IA83" s="975"/>
      <c r="IB83" s="975"/>
      <c r="IC83" s="975"/>
      <c r="ID83" s="975"/>
      <c r="IE83" s="975"/>
      <c r="IF83" s="975"/>
      <c r="IG83" s="975"/>
      <c r="IH83" s="975"/>
      <c r="II83" s="975"/>
      <c r="IJ83" s="975"/>
      <c r="IK83" s="975"/>
      <c r="IL83" s="975"/>
      <c r="IM83" s="975"/>
      <c r="IN83" s="975"/>
      <c r="IO83" s="975"/>
      <c r="IP83" s="975"/>
      <c r="IQ83" s="975"/>
      <c r="IR83" s="975"/>
      <c r="IS83" s="975"/>
      <c r="IT83" s="975"/>
      <c r="IU83" s="975"/>
    </row>
    <row r="84" spans="1:255" ht="49.5" hidden="1" outlineLevel="1">
      <c r="A84" s="961" t="s">
        <v>19</v>
      </c>
      <c r="B84" s="962" t="s">
        <v>829</v>
      </c>
      <c r="C84" s="307"/>
      <c r="D84" s="307">
        <v>0</v>
      </c>
      <c r="E84" s="306">
        <f t="shared" si="2"/>
        <v>0</v>
      </c>
      <c r="F84" s="975"/>
      <c r="G84" s="975"/>
      <c r="H84" s="975"/>
      <c r="I84" s="975"/>
      <c r="J84" s="975"/>
      <c r="K84" s="975"/>
      <c r="L84" s="975"/>
      <c r="M84" s="975"/>
      <c r="N84" s="975"/>
      <c r="O84" s="975"/>
      <c r="P84" s="975"/>
      <c r="Q84" s="975"/>
      <c r="R84" s="975"/>
      <c r="S84" s="975"/>
      <c r="T84" s="975"/>
      <c r="U84" s="975"/>
      <c r="V84" s="975"/>
      <c r="W84" s="975"/>
      <c r="X84" s="975"/>
      <c r="Y84" s="975"/>
      <c r="Z84" s="975"/>
      <c r="AA84" s="975"/>
      <c r="AB84" s="975"/>
      <c r="AC84" s="975"/>
      <c r="AD84" s="975"/>
      <c r="AE84" s="975"/>
      <c r="AF84" s="975"/>
      <c r="AG84" s="975"/>
      <c r="AH84" s="975"/>
      <c r="AI84" s="975"/>
      <c r="AJ84" s="975"/>
      <c r="AK84" s="975"/>
      <c r="AL84" s="975"/>
      <c r="AM84" s="975"/>
      <c r="AN84" s="975"/>
      <c r="AO84" s="975"/>
      <c r="AP84" s="975"/>
      <c r="AQ84" s="975"/>
      <c r="AR84" s="975"/>
      <c r="AS84" s="975"/>
      <c r="AT84" s="975"/>
      <c r="AU84" s="975"/>
      <c r="AV84" s="975"/>
      <c r="AW84" s="975"/>
      <c r="AX84" s="975"/>
      <c r="AY84" s="975"/>
      <c r="AZ84" s="975"/>
      <c r="BA84" s="975"/>
      <c r="BB84" s="975"/>
      <c r="BC84" s="975"/>
      <c r="BD84" s="975"/>
      <c r="BE84" s="975"/>
      <c r="BF84" s="975"/>
      <c r="BG84" s="975"/>
      <c r="BH84" s="975"/>
      <c r="BI84" s="975"/>
      <c r="BJ84" s="975"/>
      <c r="BK84" s="975"/>
      <c r="BL84" s="975"/>
      <c r="BM84" s="975"/>
      <c r="BN84" s="975"/>
      <c r="BO84" s="975"/>
      <c r="BP84" s="975"/>
      <c r="BQ84" s="975"/>
      <c r="BR84" s="975"/>
      <c r="BS84" s="975"/>
      <c r="BT84" s="975"/>
      <c r="BU84" s="975"/>
      <c r="BV84" s="975"/>
      <c r="BW84" s="975"/>
      <c r="BX84" s="975"/>
      <c r="BY84" s="975"/>
      <c r="BZ84" s="975"/>
      <c r="CA84" s="975"/>
      <c r="CB84" s="975"/>
      <c r="CC84" s="975"/>
      <c r="CD84" s="975"/>
      <c r="CE84" s="975"/>
      <c r="CF84" s="975"/>
      <c r="CG84" s="975"/>
      <c r="CH84" s="975"/>
      <c r="CI84" s="975"/>
      <c r="CJ84" s="975"/>
      <c r="CK84" s="975"/>
      <c r="CL84" s="975"/>
      <c r="CM84" s="975"/>
      <c r="CN84" s="975"/>
      <c r="CO84" s="975"/>
      <c r="CP84" s="975"/>
      <c r="CQ84" s="975"/>
      <c r="CR84" s="975"/>
      <c r="CS84" s="975"/>
      <c r="CT84" s="975"/>
      <c r="CU84" s="975"/>
      <c r="CV84" s="975"/>
      <c r="CW84" s="975"/>
      <c r="CX84" s="975"/>
      <c r="CY84" s="975"/>
      <c r="CZ84" s="975"/>
      <c r="DA84" s="975"/>
      <c r="DB84" s="975"/>
      <c r="DC84" s="975"/>
      <c r="DD84" s="975"/>
      <c r="DE84" s="975"/>
      <c r="DF84" s="975"/>
      <c r="DG84" s="975"/>
      <c r="DH84" s="975"/>
      <c r="DI84" s="975"/>
      <c r="DJ84" s="975"/>
      <c r="DK84" s="975"/>
      <c r="DL84" s="975"/>
      <c r="DM84" s="975"/>
      <c r="DN84" s="975"/>
      <c r="DO84" s="975"/>
      <c r="DP84" s="975"/>
      <c r="DQ84" s="975"/>
      <c r="DR84" s="975"/>
      <c r="DS84" s="975"/>
      <c r="DT84" s="975"/>
      <c r="DU84" s="975"/>
      <c r="DV84" s="975"/>
      <c r="DW84" s="975"/>
      <c r="DX84" s="975"/>
      <c r="DY84" s="975"/>
      <c r="DZ84" s="975"/>
      <c r="EA84" s="975"/>
      <c r="EB84" s="975"/>
      <c r="EC84" s="975"/>
      <c r="ED84" s="975"/>
      <c r="EE84" s="975"/>
      <c r="EF84" s="975"/>
      <c r="EG84" s="975"/>
      <c r="EH84" s="975"/>
      <c r="EI84" s="975"/>
      <c r="EJ84" s="975"/>
      <c r="EK84" s="975"/>
      <c r="EL84" s="975"/>
      <c r="EM84" s="975"/>
      <c r="EN84" s="975"/>
      <c r="EO84" s="975"/>
      <c r="EP84" s="975"/>
      <c r="EQ84" s="975"/>
      <c r="ER84" s="975"/>
      <c r="ES84" s="975"/>
      <c r="ET84" s="975"/>
      <c r="EU84" s="975"/>
      <c r="EV84" s="975"/>
      <c r="EW84" s="975"/>
      <c r="EX84" s="975"/>
      <c r="EY84" s="975"/>
      <c r="EZ84" s="975"/>
      <c r="FA84" s="975"/>
      <c r="FB84" s="975"/>
      <c r="FC84" s="975"/>
      <c r="FD84" s="975"/>
      <c r="FE84" s="975"/>
      <c r="FF84" s="975"/>
      <c r="FG84" s="975"/>
      <c r="FH84" s="975"/>
      <c r="FI84" s="975"/>
      <c r="FJ84" s="975"/>
      <c r="FK84" s="975"/>
      <c r="FL84" s="975"/>
      <c r="FM84" s="975"/>
      <c r="FN84" s="975"/>
      <c r="FO84" s="975"/>
      <c r="FP84" s="975"/>
      <c r="FQ84" s="975"/>
      <c r="FR84" s="975"/>
      <c r="FS84" s="975"/>
      <c r="FT84" s="975"/>
      <c r="FU84" s="975"/>
      <c r="FV84" s="975"/>
      <c r="FW84" s="975"/>
      <c r="FX84" s="975"/>
      <c r="FY84" s="975"/>
      <c r="FZ84" s="975"/>
      <c r="GA84" s="975"/>
      <c r="GB84" s="975"/>
      <c r="GC84" s="975"/>
      <c r="GD84" s="975"/>
      <c r="GE84" s="975"/>
      <c r="GF84" s="975"/>
      <c r="GG84" s="975"/>
      <c r="GH84" s="975"/>
      <c r="GI84" s="975"/>
      <c r="GJ84" s="975"/>
      <c r="GK84" s="975"/>
      <c r="GL84" s="975"/>
      <c r="GM84" s="975"/>
      <c r="GN84" s="975"/>
      <c r="GO84" s="975"/>
      <c r="GP84" s="975"/>
      <c r="GQ84" s="975"/>
      <c r="GR84" s="975"/>
      <c r="GS84" s="975"/>
      <c r="GT84" s="975"/>
      <c r="GU84" s="975"/>
      <c r="GV84" s="975"/>
      <c r="GW84" s="975"/>
      <c r="GX84" s="975"/>
      <c r="GY84" s="975"/>
      <c r="GZ84" s="975"/>
      <c r="HA84" s="975"/>
      <c r="HB84" s="975"/>
      <c r="HC84" s="975"/>
      <c r="HD84" s="975"/>
      <c r="HE84" s="975"/>
      <c r="HF84" s="975"/>
      <c r="HG84" s="975"/>
      <c r="HH84" s="975"/>
      <c r="HI84" s="975"/>
      <c r="HJ84" s="975"/>
      <c r="HK84" s="975"/>
      <c r="HL84" s="975"/>
      <c r="HM84" s="975"/>
      <c r="HN84" s="975"/>
      <c r="HO84" s="975"/>
      <c r="HP84" s="975"/>
      <c r="HQ84" s="975"/>
      <c r="HR84" s="975"/>
      <c r="HS84" s="975"/>
      <c r="HT84" s="975"/>
      <c r="HU84" s="975"/>
      <c r="HV84" s="975"/>
      <c r="HW84" s="975"/>
      <c r="HX84" s="975"/>
      <c r="HY84" s="975"/>
      <c r="HZ84" s="975"/>
      <c r="IA84" s="975"/>
      <c r="IB84" s="975"/>
      <c r="IC84" s="975"/>
      <c r="ID84" s="975"/>
      <c r="IE84" s="975"/>
      <c r="IF84" s="975"/>
      <c r="IG84" s="975"/>
      <c r="IH84" s="975"/>
      <c r="II84" s="975"/>
      <c r="IJ84" s="975"/>
      <c r="IK84" s="975"/>
      <c r="IL84" s="975"/>
      <c r="IM84" s="975"/>
      <c r="IN84" s="975"/>
      <c r="IO84" s="975"/>
      <c r="IP84" s="975"/>
      <c r="IQ84" s="975"/>
      <c r="IR84" s="975"/>
      <c r="IS84" s="975"/>
      <c r="IT84" s="975"/>
      <c r="IU84" s="975"/>
    </row>
    <row r="85" spans="1:255" collapsed="1">
      <c r="A85" s="976"/>
      <c r="B85" s="977"/>
      <c r="C85" s="978"/>
      <c r="D85" s="978"/>
      <c r="E85" s="979"/>
    </row>
    <row r="87" spans="1:255">
      <c r="C87" s="1051"/>
      <c r="D87" s="1051"/>
      <c r="E87" s="1051"/>
    </row>
    <row r="88" spans="1:255">
      <c r="C88" s="1052"/>
      <c r="D88" s="1052"/>
      <c r="E88" s="1052"/>
    </row>
  </sheetData>
  <mergeCells count="11">
    <mergeCell ref="C87:E87"/>
    <mergeCell ref="C88:E88"/>
    <mergeCell ref="D1:E1"/>
    <mergeCell ref="A3:E3"/>
    <mergeCell ref="A4:E4"/>
    <mergeCell ref="D6:E6"/>
    <mergeCell ref="A7:A9"/>
    <mergeCell ref="B7:B9"/>
    <mergeCell ref="C7:C9"/>
    <mergeCell ref="D7:D9"/>
    <mergeCell ref="E7:E9"/>
  </mergeCells>
  <hyperlinks>
    <hyperlink ref="D1:E1" location="'Tong hop'!A1" display="Biểu mẫu số 18"/>
  </hyperlinks>
  <pageMargins left="0.70866141732283472" right="0.70866141732283472" top="0.74803149606299213" bottom="0.74803149606299213" header="0.31496062992125984" footer="0.31496062992125984"/>
  <pageSetup paperSize="9" scale="80" fitToHeight="0" orientation="portrait"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S49"/>
  <sheetViews>
    <sheetView zoomScale="70" zoomScaleNormal="70" workbookViewId="0">
      <pane xSplit="2" ySplit="8" topLeftCell="C13" activePane="bottomRight" state="frozen"/>
      <selection activeCell="A40" sqref="A40:XFD41"/>
      <selection pane="topRight" activeCell="A40" sqref="A40:XFD41"/>
      <selection pane="bottomLeft" activeCell="A40" sqref="A40:XFD41"/>
      <selection pane="bottomRight" activeCell="A40" sqref="A40:XFD41"/>
    </sheetView>
  </sheetViews>
  <sheetFormatPr defaultColWidth="10.42578125" defaultRowHeight="15.75" outlineLevelRow="1" outlineLevelCol="1"/>
  <cols>
    <col min="1" max="1" width="5.85546875" style="587" customWidth="1"/>
    <col min="2" max="2" width="56.140625" style="587" customWidth="1"/>
    <col min="3" max="3" width="15.140625" style="587" customWidth="1"/>
    <col min="4" max="4" width="14.85546875" style="587" customWidth="1"/>
    <col min="5" max="6" width="13.28515625" style="587" customWidth="1"/>
    <col min="7" max="7" width="19.28515625" style="587" hidden="1" customWidth="1" outlineLevel="1"/>
    <col min="8" max="8" width="16.85546875" style="587" hidden="1" customWidth="1" outlineLevel="1"/>
    <col min="9" max="9" width="10.28515625" style="587" customWidth="1" collapsed="1"/>
    <col min="10" max="252" width="10.28515625" style="587" customWidth="1"/>
    <col min="253" max="253" width="10.42578125" style="587"/>
    <col min="254" max="254" width="5.85546875" style="587" customWidth="1"/>
    <col min="255" max="255" width="56.140625" style="587" customWidth="1"/>
    <col min="256" max="256" width="15.140625" style="587" customWidth="1"/>
    <col min="257" max="257" width="14.85546875" style="587" customWidth="1"/>
    <col min="258" max="259" width="13.28515625" style="587" customWidth="1"/>
    <col min="260" max="261" width="0" style="587" hidden="1" customWidth="1"/>
    <col min="262" max="262" width="17.28515625" style="587" customWidth="1"/>
    <col min="263" max="508" width="10.28515625" style="587" customWidth="1"/>
    <col min="509" max="509" width="10.42578125" style="587"/>
    <col min="510" max="510" width="5.85546875" style="587" customWidth="1"/>
    <col min="511" max="511" width="56.140625" style="587" customWidth="1"/>
    <col min="512" max="512" width="15.140625" style="587" customWidth="1"/>
    <col min="513" max="513" width="14.85546875" style="587" customWidth="1"/>
    <col min="514" max="515" width="13.28515625" style="587" customWidth="1"/>
    <col min="516" max="517" width="0" style="587" hidden="1" customWidth="1"/>
    <col min="518" max="518" width="17.28515625" style="587" customWidth="1"/>
    <col min="519" max="764" width="10.28515625" style="587" customWidth="1"/>
    <col min="765" max="765" width="10.42578125" style="587"/>
    <col min="766" max="766" width="5.85546875" style="587" customWidth="1"/>
    <col min="767" max="767" width="56.140625" style="587" customWidth="1"/>
    <col min="768" max="768" width="15.140625" style="587" customWidth="1"/>
    <col min="769" max="769" width="14.85546875" style="587" customWidth="1"/>
    <col min="770" max="771" width="13.28515625" style="587" customWidth="1"/>
    <col min="772" max="773" width="0" style="587" hidden="1" customWidth="1"/>
    <col min="774" max="774" width="17.28515625" style="587" customWidth="1"/>
    <col min="775" max="1020" width="10.28515625" style="587" customWidth="1"/>
    <col min="1021" max="1021" width="10.42578125" style="587"/>
    <col min="1022" max="1022" width="5.85546875" style="587" customWidth="1"/>
    <col min="1023" max="1023" width="56.140625" style="587" customWidth="1"/>
    <col min="1024" max="1024" width="15.140625" style="587" customWidth="1"/>
    <col min="1025" max="1025" width="14.85546875" style="587" customWidth="1"/>
    <col min="1026" max="1027" width="13.28515625" style="587" customWidth="1"/>
    <col min="1028" max="1029" width="0" style="587" hidden="1" customWidth="1"/>
    <col min="1030" max="1030" width="17.28515625" style="587" customWidth="1"/>
    <col min="1031" max="1276" width="10.28515625" style="587" customWidth="1"/>
    <col min="1277" max="1277" width="10.42578125" style="587"/>
    <col min="1278" max="1278" width="5.85546875" style="587" customWidth="1"/>
    <col min="1279" max="1279" width="56.140625" style="587" customWidth="1"/>
    <col min="1280" max="1280" width="15.140625" style="587" customWidth="1"/>
    <col min="1281" max="1281" width="14.85546875" style="587" customWidth="1"/>
    <col min="1282" max="1283" width="13.28515625" style="587" customWidth="1"/>
    <col min="1284" max="1285" width="0" style="587" hidden="1" customWidth="1"/>
    <col min="1286" max="1286" width="17.28515625" style="587" customWidth="1"/>
    <col min="1287" max="1532" width="10.28515625" style="587" customWidth="1"/>
    <col min="1533" max="1533" width="10.42578125" style="587"/>
    <col min="1534" max="1534" width="5.85546875" style="587" customWidth="1"/>
    <col min="1535" max="1535" width="56.140625" style="587" customWidth="1"/>
    <col min="1536" max="1536" width="15.140625" style="587" customWidth="1"/>
    <col min="1537" max="1537" width="14.85546875" style="587" customWidth="1"/>
    <col min="1538" max="1539" width="13.28515625" style="587" customWidth="1"/>
    <col min="1540" max="1541" width="0" style="587" hidden="1" customWidth="1"/>
    <col min="1542" max="1542" width="17.28515625" style="587" customWidth="1"/>
    <col min="1543" max="1788" width="10.28515625" style="587" customWidth="1"/>
    <col min="1789" max="1789" width="10.42578125" style="587"/>
    <col min="1790" max="1790" width="5.85546875" style="587" customWidth="1"/>
    <col min="1791" max="1791" width="56.140625" style="587" customWidth="1"/>
    <col min="1792" max="1792" width="15.140625" style="587" customWidth="1"/>
    <col min="1793" max="1793" width="14.85546875" style="587" customWidth="1"/>
    <col min="1794" max="1795" width="13.28515625" style="587" customWidth="1"/>
    <col min="1796" max="1797" width="0" style="587" hidden="1" customWidth="1"/>
    <col min="1798" max="1798" width="17.28515625" style="587" customWidth="1"/>
    <col min="1799" max="2044" width="10.28515625" style="587" customWidth="1"/>
    <col min="2045" max="2045" width="10.42578125" style="587"/>
    <col min="2046" max="2046" width="5.85546875" style="587" customWidth="1"/>
    <col min="2047" max="2047" width="56.140625" style="587" customWidth="1"/>
    <col min="2048" max="2048" width="15.140625" style="587" customWidth="1"/>
    <col min="2049" max="2049" width="14.85546875" style="587" customWidth="1"/>
    <col min="2050" max="2051" width="13.28515625" style="587" customWidth="1"/>
    <col min="2052" max="2053" width="0" style="587" hidden="1" customWidth="1"/>
    <col min="2054" max="2054" width="17.28515625" style="587" customWidth="1"/>
    <col min="2055" max="2300" width="10.28515625" style="587" customWidth="1"/>
    <col min="2301" max="2301" width="10.42578125" style="587"/>
    <col min="2302" max="2302" width="5.85546875" style="587" customWidth="1"/>
    <col min="2303" max="2303" width="56.140625" style="587" customWidth="1"/>
    <col min="2304" max="2304" width="15.140625" style="587" customWidth="1"/>
    <col min="2305" max="2305" width="14.85546875" style="587" customWidth="1"/>
    <col min="2306" max="2307" width="13.28515625" style="587" customWidth="1"/>
    <col min="2308" max="2309" width="0" style="587" hidden="1" customWidth="1"/>
    <col min="2310" max="2310" width="17.28515625" style="587" customWidth="1"/>
    <col min="2311" max="2556" width="10.28515625" style="587" customWidth="1"/>
    <col min="2557" max="2557" width="10.42578125" style="587"/>
    <col min="2558" max="2558" width="5.85546875" style="587" customWidth="1"/>
    <col min="2559" max="2559" width="56.140625" style="587" customWidth="1"/>
    <col min="2560" max="2560" width="15.140625" style="587" customWidth="1"/>
    <col min="2561" max="2561" width="14.85546875" style="587" customWidth="1"/>
    <col min="2562" max="2563" width="13.28515625" style="587" customWidth="1"/>
    <col min="2564" max="2565" width="0" style="587" hidden="1" customWidth="1"/>
    <col min="2566" max="2566" width="17.28515625" style="587" customWidth="1"/>
    <col min="2567" max="2812" width="10.28515625" style="587" customWidth="1"/>
    <col min="2813" max="2813" width="10.42578125" style="587"/>
    <col min="2814" max="2814" width="5.85546875" style="587" customWidth="1"/>
    <col min="2815" max="2815" width="56.140625" style="587" customWidth="1"/>
    <col min="2816" max="2816" width="15.140625" style="587" customWidth="1"/>
    <col min="2817" max="2817" width="14.85546875" style="587" customWidth="1"/>
    <col min="2818" max="2819" width="13.28515625" style="587" customWidth="1"/>
    <col min="2820" max="2821" width="0" style="587" hidden="1" customWidth="1"/>
    <col min="2822" max="2822" width="17.28515625" style="587" customWidth="1"/>
    <col min="2823" max="3068" width="10.28515625" style="587" customWidth="1"/>
    <col min="3069" max="3069" width="10.42578125" style="587"/>
    <col min="3070" max="3070" width="5.85546875" style="587" customWidth="1"/>
    <col min="3071" max="3071" width="56.140625" style="587" customWidth="1"/>
    <col min="3072" max="3072" width="15.140625" style="587" customWidth="1"/>
    <col min="3073" max="3073" width="14.85546875" style="587" customWidth="1"/>
    <col min="3074" max="3075" width="13.28515625" style="587" customWidth="1"/>
    <col min="3076" max="3077" width="0" style="587" hidden="1" customWidth="1"/>
    <col min="3078" max="3078" width="17.28515625" style="587" customWidth="1"/>
    <col min="3079" max="3324" width="10.28515625" style="587" customWidth="1"/>
    <col min="3325" max="3325" width="10.42578125" style="587"/>
    <col min="3326" max="3326" width="5.85546875" style="587" customWidth="1"/>
    <col min="3327" max="3327" width="56.140625" style="587" customWidth="1"/>
    <col min="3328" max="3328" width="15.140625" style="587" customWidth="1"/>
    <col min="3329" max="3329" width="14.85546875" style="587" customWidth="1"/>
    <col min="3330" max="3331" width="13.28515625" style="587" customWidth="1"/>
    <col min="3332" max="3333" width="0" style="587" hidden="1" customWidth="1"/>
    <col min="3334" max="3334" width="17.28515625" style="587" customWidth="1"/>
    <col min="3335" max="3580" width="10.28515625" style="587" customWidth="1"/>
    <col min="3581" max="3581" width="10.42578125" style="587"/>
    <col min="3582" max="3582" width="5.85546875" style="587" customWidth="1"/>
    <col min="3583" max="3583" width="56.140625" style="587" customWidth="1"/>
    <col min="3584" max="3584" width="15.140625" style="587" customWidth="1"/>
    <col min="3585" max="3585" width="14.85546875" style="587" customWidth="1"/>
    <col min="3586" max="3587" width="13.28515625" style="587" customWidth="1"/>
    <col min="3588" max="3589" width="0" style="587" hidden="1" customWidth="1"/>
    <col min="3590" max="3590" width="17.28515625" style="587" customWidth="1"/>
    <col min="3591" max="3836" width="10.28515625" style="587" customWidth="1"/>
    <col min="3837" max="3837" width="10.42578125" style="587"/>
    <col min="3838" max="3838" width="5.85546875" style="587" customWidth="1"/>
    <col min="3839" max="3839" width="56.140625" style="587" customWidth="1"/>
    <col min="3840" max="3840" width="15.140625" style="587" customWidth="1"/>
    <col min="3841" max="3841" width="14.85546875" style="587" customWidth="1"/>
    <col min="3842" max="3843" width="13.28515625" style="587" customWidth="1"/>
    <col min="3844" max="3845" width="0" style="587" hidden="1" customWidth="1"/>
    <col min="3846" max="3846" width="17.28515625" style="587" customWidth="1"/>
    <col min="3847" max="4092" width="10.28515625" style="587" customWidth="1"/>
    <col min="4093" max="4093" width="10.42578125" style="587"/>
    <col min="4094" max="4094" width="5.85546875" style="587" customWidth="1"/>
    <col min="4095" max="4095" width="56.140625" style="587" customWidth="1"/>
    <col min="4096" max="4096" width="15.140625" style="587" customWidth="1"/>
    <col min="4097" max="4097" width="14.85546875" style="587" customWidth="1"/>
    <col min="4098" max="4099" width="13.28515625" style="587" customWidth="1"/>
    <col min="4100" max="4101" width="0" style="587" hidden="1" customWidth="1"/>
    <col min="4102" max="4102" width="17.28515625" style="587" customWidth="1"/>
    <col min="4103" max="4348" width="10.28515625" style="587" customWidth="1"/>
    <col min="4349" max="4349" width="10.42578125" style="587"/>
    <col min="4350" max="4350" width="5.85546875" style="587" customWidth="1"/>
    <col min="4351" max="4351" width="56.140625" style="587" customWidth="1"/>
    <col min="4352" max="4352" width="15.140625" style="587" customWidth="1"/>
    <col min="4353" max="4353" width="14.85546875" style="587" customWidth="1"/>
    <col min="4354" max="4355" width="13.28515625" style="587" customWidth="1"/>
    <col min="4356" max="4357" width="0" style="587" hidden="1" customWidth="1"/>
    <col min="4358" max="4358" width="17.28515625" style="587" customWidth="1"/>
    <col min="4359" max="4604" width="10.28515625" style="587" customWidth="1"/>
    <col min="4605" max="4605" width="10.42578125" style="587"/>
    <col min="4606" max="4606" width="5.85546875" style="587" customWidth="1"/>
    <col min="4607" max="4607" width="56.140625" style="587" customWidth="1"/>
    <col min="4608" max="4608" width="15.140625" style="587" customWidth="1"/>
    <col min="4609" max="4609" width="14.85546875" style="587" customWidth="1"/>
    <col min="4610" max="4611" width="13.28515625" style="587" customWidth="1"/>
    <col min="4612" max="4613" width="0" style="587" hidden="1" customWidth="1"/>
    <col min="4614" max="4614" width="17.28515625" style="587" customWidth="1"/>
    <col min="4615" max="4860" width="10.28515625" style="587" customWidth="1"/>
    <col min="4861" max="4861" width="10.42578125" style="587"/>
    <col min="4862" max="4862" width="5.85546875" style="587" customWidth="1"/>
    <col min="4863" max="4863" width="56.140625" style="587" customWidth="1"/>
    <col min="4864" max="4864" width="15.140625" style="587" customWidth="1"/>
    <col min="4865" max="4865" width="14.85546875" style="587" customWidth="1"/>
    <col min="4866" max="4867" width="13.28515625" style="587" customWidth="1"/>
    <col min="4868" max="4869" width="0" style="587" hidden="1" customWidth="1"/>
    <col min="4870" max="4870" width="17.28515625" style="587" customWidth="1"/>
    <col min="4871" max="5116" width="10.28515625" style="587" customWidth="1"/>
    <col min="5117" max="5117" width="10.42578125" style="587"/>
    <col min="5118" max="5118" width="5.85546875" style="587" customWidth="1"/>
    <col min="5119" max="5119" width="56.140625" style="587" customWidth="1"/>
    <col min="5120" max="5120" width="15.140625" style="587" customWidth="1"/>
    <col min="5121" max="5121" width="14.85546875" style="587" customWidth="1"/>
    <col min="5122" max="5123" width="13.28515625" style="587" customWidth="1"/>
    <col min="5124" max="5125" width="0" style="587" hidden="1" customWidth="1"/>
    <col min="5126" max="5126" width="17.28515625" style="587" customWidth="1"/>
    <col min="5127" max="5372" width="10.28515625" style="587" customWidth="1"/>
    <col min="5373" max="5373" width="10.42578125" style="587"/>
    <col min="5374" max="5374" width="5.85546875" style="587" customWidth="1"/>
    <col min="5375" max="5375" width="56.140625" style="587" customWidth="1"/>
    <col min="5376" max="5376" width="15.140625" style="587" customWidth="1"/>
    <col min="5377" max="5377" width="14.85546875" style="587" customWidth="1"/>
    <col min="5378" max="5379" width="13.28515625" style="587" customWidth="1"/>
    <col min="5380" max="5381" width="0" style="587" hidden="1" customWidth="1"/>
    <col min="5382" max="5382" width="17.28515625" style="587" customWidth="1"/>
    <col min="5383" max="5628" width="10.28515625" style="587" customWidth="1"/>
    <col min="5629" max="5629" width="10.42578125" style="587"/>
    <col min="5630" max="5630" width="5.85546875" style="587" customWidth="1"/>
    <col min="5631" max="5631" width="56.140625" style="587" customWidth="1"/>
    <col min="5632" max="5632" width="15.140625" style="587" customWidth="1"/>
    <col min="5633" max="5633" width="14.85546875" style="587" customWidth="1"/>
    <col min="5634" max="5635" width="13.28515625" style="587" customWidth="1"/>
    <col min="5636" max="5637" width="0" style="587" hidden="1" customWidth="1"/>
    <col min="5638" max="5638" width="17.28515625" style="587" customWidth="1"/>
    <col min="5639" max="5884" width="10.28515625" style="587" customWidth="1"/>
    <col min="5885" max="5885" width="10.42578125" style="587"/>
    <col min="5886" max="5886" width="5.85546875" style="587" customWidth="1"/>
    <col min="5887" max="5887" width="56.140625" style="587" customWidth="1"/>
    <col min="5888" max="5888" width="15.140625" style="587" customWidth="1"/>
    <col min="5889" max="5889" width="14.85546875" style="587" customWidth="1"/>
    <col min="5890" max="5891" width="13.28515625" style="587" customWidth="1"/>
    <col min="5892" max="5893" width="0" style="587" hidden="1" customWidth="1"/>
    <col min="5894" max="5894" width="17.28515625" style="587" customWidth="1"/>
    <col min="5895" max="6140" width="10.28515625" style="587" customWidth="1"/>
    <col min="6141" max="6141" width="10.42578125" style="587"/>
    <col min="6142" max="6142" width="5.85546875" style="587" customWidth="1"/>
    <col min="6143" max="6143" width="56.140625" style="587" customWidth="1"/>
    <col min="6144" max="6144" width="15.140625" style="587" customWidth="1"/>
    <col min="6145" max="6145" width="14.85546875" style="587" customWidth="1"/>
    <col min="6146" max="6147" width="13.28515625" style="587" customWidth="1"/>
    <col min="6148" max="6149" width="0" style="587" hidden="1" customWidth="1"/>
    <col min="6150" max="6150" width="17.28515625" style="587" customWidth="1"/>
    <col min="6151" max="6396" width="10.28515625" style="587" customWidth="1"/>
    <col min="6397" max="6397" width="10.42578125" style="587"/>
    <col min="6398" max="6398" width="5.85546875" style="587" customWidth="1"/>
    <col min="6399" max="6399" width="56.140625" style="587" customWidth="1"/>
    <col min="6400" max="6400" width="15.140625" style="587" customWidth="1"/>
    <col min="6401" max="6401" width="14.85546875" style="587" customWidth="1"/>
    <col min="6402" max="6403" width="13.28515625" style="587" customWidth="1"/>
    <col min="6404" max="6405" width="0" style="587" hidden="1" customWidth="1"/>
    <col min="6406" max="6406" width="17.28515625" style="587" customWidth="1"/>
    <col min="6407" max="6652" width="10.28515625" style="587" customWidth="1"/>
    <col min="6653" max="6653" width="10.42578125" style="587"/>
    <col min="6654" max="6654" width="5.85546875" style="587" customWidth="1"/>
    <col min="6655" max="6655" width="56.140625" style="587" customWidth="1"/>
    <col min="6656" max="6656" width="15.140625" style="587" customWidth="1"/>
    <col min="6657" max="6657" width="14.85546875" style="587" customWidth="1"/>
    <col min="6658" max="6659" width="13.28515625" style="587" customWidth="1"/>
    <col min="6660" max="6661" width="0" style="587" hidden="1" customWidth="1"/>
    <col min="6662" max="6662" width="17.28515625" style="587" customWidth="1"/>
    <col min="6663" max="6908" width="10.28515625" style="587" customWidth="1"/>
    <col min="6909" max="6909" width="10.42578125" style="587"/>
    <col min="6910" max="6910" width="5.85546875" style="587" customWidth="1"/>
    <col min="6911" max="6911" width="56.140625" style="587" customWidth="1"/>
    <col min="6912" max="6912" width="15.140625" style="587" customWidth="1"/>
    <col min="6913" max="6913" width="14.85546875" style="587" customWidth="1"/>
    <col min="6914" max="6915" width="13.28515625" style="587" customWidth="1"/>
    <col min="6916" max="6917" width="0" style="587" hidden="1" customWidth="1"/>
    <col min="6918" max="6918" width="17.28515625" style="587" customWidth="1"/>
    <col min="6919" max="7164" width="10.28515625" style="587" customWidth="1"/>
    <col min="7165" max="7165" width="10.42578125" style="587"/>
    <col min="7166" max="7166" width="5.85546875" style="587" customWidth="1"/>
    <col min="7167" max="7167" width="56.140625" style="587" customWidth="1"/>
    <col min="7168" max="7168" width="15.140625" style="587" customWidth="1"/>
    <col min="7169" max="7169" width="14.85546875" style="587" customWidth="1"/>
    <col min="7170" max="7171" width="13.28515625" style="587" customWidth="1"/>
    <col min="7172" max="7173" width="0" style="587" hidden="1" customWidth="1"/>
    <col min="7174" max="7174" width="17.28515625" style="587" customWidth="1"/>
    <col min="7175" max="7420" width="10.28515625" style="587" customWidth="1"/>
    <col min="7421" max="7421" width="10.42578125" style="587"/>
    <col min="7422" max="7422" width="5.85546875" style="587" customWidth="1"/>
    <col min="7423" max="7423" width="56.140625" style="587" customWidth="1"/>
    <col min="7424" max="7424" width="15.140625" style="587" customWidth="1"/>
    <col min="7425" max="7425" width="14.85546875" style="587" customWidth="1"/>
    <col min="7426" max="7427" width="13.28515625" style="587" customWidth="1"/>
    <col min="7428" max="7429" width="0" style="587" hidden="1" customWidth="1"/>
    <col min="7430" max="7430" width="17.28515625" style="587" customWidth="1"/>
    <col min="7431" max="7676" width="10.28515625" style="587" customWidth="1"/>
    <col min="7677" max="7677" width="10.42578125" style="587"/>
    <col min="7678" max="7678" width="5.85546875" style="587" customWidth="1"/>
    <col min="7679" max="7679" width="56.140625" style="587" customWidth="1"/>
    <col min="7680" max="7680" width="15.140625" style="587" customWidth="1"/>
    <col min="7681" max="7681" width="14.85546875" style="587" customWidth="1"/>
    <col min="7682" max="7683" width="13.28515625" style="587" customWidth="1"/>
    <col min="7684" max="7685" width="0" style="587" hidden="1" customWidth="1"/>
    <col min="7686" max="7686" width="17.28515625" style="587" customWidth="1"/>
    <col min="7687" max="7932" width="10.28515625" style="587" customWidth="1"/>
    <col min="7933" max="7933" width="10.42578125" style="587"/>
    <col min="7934" max="7934" width="5.85546875" style="587" customWidth="1"/>
    <col min="7935" max="7935" width="56.140625" style="587" customWidth="1"/>
    <col min="7936" max="7936" width="15.140625" style="587" customWidth="1"/>
    <col min="7937" max="7937" width="14.85546875" style="587" customWidth="1"/>
    <col min="7938" max="7939" width="13.28515625" style="587" customWidth="1"/>
    <col min="7940" max="7941" width="0" style="587" hidden="1" customWidth="1"/>
    <col min="7942" max="7942" width="17.28515625" style="587" customWidth="1"/>
    <col min="7943" max="8188" width="10.28515625" style="587" customWidth="1"/>
    <col min="8189" max="8189" width="10.42578125" style="587"/>
    <col min="8190" max="8190" width="5.85546875" style="587" customWidth="1"/>
    <col min="8191" max="8191" width="56.140625" style="587" customWidth="1"/>
    <col min="8192" max="8192" width="15.140625" style="587" customWidth="1"/>
    <col min="8193" max="8193" width="14.85546875" style="587" customWidth="1"/>
    <col min="8194" max="8195" width="13.28515625" style="587" customWidth="1"/>
    <col min="8196" max="8197" width="0" style="587" hidden="1" customWidth="1"/>
    <col min="8198" max="8198" width="17.28515625" style="587" customWidth="1"/>
    <col min="8199" max="8444" width="10.28515625" style="587" customWidth="1"/>
    <col min="8445" max="8445" width="10.42578125" style="587"/>
    <col min="8446" max="8446" width="5.85546875" style="587" customWidth="1"/>
    <col min="8447" max="8447" width="56.140625" style="587" customWidth="1"/>
    <col min="8448" max="8448" width="15.140625" style="587" customWidth="1"/>
    <col min="8449" max="8449" width="14.85546875" style="587" customWidth="1"/>
    <col min="8450" max="8451" width="13.28515625" style="587" customWidth="1"/>
    <col min="8452" max="8453" width="0" style="587" hidden="1" customWidth="1"/>
    <col min="8454" max="8454" width="17.28515625" style="587" customWidth="1"/>
    <col min="8455" max="8700" width="10.28515625" style="587" customWidth="1"/>
    <col min="8701" max="8701" width="10.42578125" style="587"/>
    <col min="8702" max="8702" width="5.85546875" style="587" customWidth="1"/>
    <col min="8703" max="8703" width="56.140625" style="587" customWidth="1"/>
    <col min="8704" max="8704" width="15.140625" style="587" customWidth="1"/>
    <col min="8705" max="8705" width="14.85546875" style="587" customWidth="1"/>
    <col min="8706" max="8707" width="13.28515625" style="587" customWidth="1"/>
    <col min="8708" max="8709" width="0" style="587" hidden="1" customWidth="1"/>
    <col min="8710" max="8710" width="17.28515625" style="587" customWidth="1"/>
    <col min="8711" max="8956" width="10.28515625" style="587" customWidth="1"/>
    <col min="8957" max="8957" width="10.42578125" style="587"/>
    <col min="8958" max="8958" width="5.85546875" style="587" customWidth="1"/>
    <col min="8959" max="8959" width="56.140625" style="587" customWidth="1"/>
    <col min="8960" max="8960" width="15.140625" style="587" customWidth="1"/>
    <col min="8961" max="8961" width="14.85546875" style="587" customWidth="1"/>
    <col min="8962" max="8963" width="13.28515625" style="587" customWidth="1"/>
    <col min="8964" max="8965" width="0" style="587" hidden="1" customWidth="1"/>
    <col min="8966" max="8966" width="17.28515625" style="587" customWidth="1"/>
    <col min="8967" max="9212" width="10.28515625" style="587" customWidth="1"/>
    <col min="9213" max="9213" width="10.42578125" style="587"/>
    <col min="9214" max="9214" width="5.85546875" style="587" customWidth="1"/>
    <col min="9215" max="9215" width="56.140625" style="587" customWidth="1"/>
    <col min="9216" max="9216" width="15.140625" style="587" customWidth="1"/>
    <col min="9217" max="9217" width="14.85546875" style="587" customWidth="1"/>
    <col min="9218" max="9219" width="13.28515625" style="587" customWidth="1"/>
    <col min="9220" max="9221" width="0" style="587" hidden="1" customWidth="1"/>
    <col min="9222" max="9222" width="17.28515625" style="587" customWidth="1"/>
    <col min="9223" max="9468" width="10.28515625" style="587" customWidth="1"/>
    <col min="9469" max="9469" width="10.42578125" style="587"/>
    <col min="9470" max="9470" width="5.85546875" style="587" customWidth="1"/>
    <col min="9471" max="9471" width="56.140625" style="587" customWidth="1"/>
    <col min="9472" max="9472" width="15.140625" style="587" customWidth="1"/>
    <col min="9473" max="9473" width="14.85546875" style="587" customWidth="1"/>
    <col min="9474" max="9475" width="13.28515625" style="587" customWidth="1"/>
    <col min="9476" max="9477" width="0" style="587" hidden="1" customWidth="1"/>
    <col min="9478" max="9478" width="17.28515625" style="587" customWidth="1"/>
    <col min="9479" max="9724" width="10.28515625" style="587" customWidth="1"/>
    <col min="9725" max="9725" width="10.42578125" style="587"/>
    <col min="9726" max="9726" width="5.85546875" style="587" customWidth="1"/>
    <col min="9727" max="9727" width="56.140625" style="587" customWidth="1"/>
    <col min="9728" max="9728" width="15.140625" style="587" customWidth="1"/>
    <col min="9729" max="9729" width="14.85546875" style="587" customWidth="1"/>
    <col min="9730" max="9731" width="13.28515625" style="587" customWidth="1"/>
    <col min="9732" max="9733" width="0" style="587" hidden="1" customWidth="1"/>
    <col min="9734" max="9734" width="17.28515625" style="587" customWidth="1"/>
    <col min="9735" max="9980" width="10.28515625" style="587" customWidth="1"/>
    <col min="9981" max="9981" width="10.42578125" style="587"/>
    <col min="9982" max="9982" width="5.85546875" style="587" customWidth="1"/>
    <col min="9983" max="9983" width="56.140625" style="587" customWidth="1"/>
    <col min="9984" max="9984" width="15.140625" style="587" customWidth="1"/>
    <col min="9985" max="9985" width="14.85546875" style="587" customWidth="1"/>
    <col min="9986" max="9987" width="13.28515625" style="587" customWidth="1"/>
    <col min="9988" max="9989" width="0" style="587" hidden="1" customWidth="1"/>
    <col min="9990" max="9990" width="17.28515625" style="587" customWidth="1"/>
    <col min="9991" max="10236" width="10.28515625" style="587" customWidth="1"/>
    <col min="10237" max="10237" width="10.42578125" style="587"/>
    <col min="10238" max="10238" width="5.85546875" style="587" customWidth="1"/>
    <col min="10239" max="10239" width="56.140625" style="587" customWidth="1"/>
    <col min="10240" max="10240" width="15.140625" style="587" customWidth="1"/>
    <col min="10241" max="10241" width="14.85546875" style="587" customWidth="1"/>
    <col min="10242" max="10243" width="13.28515625" style="587" customWidth="1"/>
    <col min="10244" max="10245" width="0" style="587" hidden="1" customWidth="1"/>
    <col min="10246" max="10246" width="17.28515625" style="587" customWidth="1"/>
    <col min="10247" max="10492" width="10.28515625" style="587" customWidth="1"/>
    <col min="10493" max="10493" width="10.42578125" style="587"/>
    <col min="10494" max="10494" width="5.85546875" style="587" customWidth="1"/>
    <col min="10495" max="10495" width="56.140625" style="587" customWidth="1"/>
    <col min="10496" max="10496" width="15.140625" style="587" customWidth="1"/>
    <col min="10497" max="10497" width="14.85546875" style="587" customWidth="1"/>
    <col min="10498" max="10499" width="13.28515625" style="587" customWidth="1"/>
    <col min="10500" max="10501" width="0" style="587" hidden="1" customWidth="1"/>
    <col min="10502" max="10502" width="17.28515625" style="587" customWidth="1"/>
    <col min="10503" max="10748" width="10.28515625" style="587" customWidth="1"/>
    <col min="10749" max="10749" width="10.42578125" style="587"/>
    <col min="10750" max="10750" width="5.85546875" style="587" customWidth="1"/>
    <col min="10751" max="10751" width="56.140625" style="587" customWidth="1"/>
    <col min="10752" max="10752" width="15.140625" style="587" customWidth="1"/>
    <col min="10753" max="10753" width="14.85546875" style="587" customWidth="1"/>
    <col min="10754" max="10755" width="13.28515625" style="587" customWidth="1"/>
    <col min="10756" max="10757" width="0" style="587" hidden="1" customWidth="1"/>
    <col min="10758" max="10758" width="17.28515625" style="587" customWidth="1"/>
    <col min="10759" max="11004" width="10.28515625" style="587" customWidth="1"/>
    <col min="11005" max="11005" width="10.42578125" style="587"/>
    <col min="11006" max="11006" width="5.85546875" style="587" customWidth="1"/>
    <col min="11007" max="11007" width="56.140625" style="587" customWidth="1"/>
    <col min="11008" max="11008" width="15.140625" style="587" customWidth="1"/>
    <col min="11009" max="11009" width="14.85546875" style="587" customWidth="1"/>
    <col min="11010" max="11011" width="13.28515625" style="587" customWidth="1"/>
    <col min="11012" max="11013" width="0" style="587" hidden="1" customWidth="1"/>
    <col min="11014" max="11014" width="17.28515625" style="587" customWidth="1"/>
    <col min="11015" max="11260" width="10.28515625" style="587" customWidth="1"/>
    <col min="11261" max="11261" width="10.42578125" style="587"/>
    <col min="11262" max="11262" width="5.85546875" style="587" customWidth="1"/>
    <col min="11263" max="11263" width="56.140625" style="587" customWidth="1"/>
    <col min="11264" max="11264" width="15.140625" style="587" customWidth="1"/>
    <col min="11265" max="11265" width="14.85546875" style="587" customWidth="1"/>
    <col min="11266" max="11267" width="13.28515625" style="587" customWidth="1"/>
    <col min="11268" max="11269" width="0" style="587" hidden="1" customWidth="1"/>
    <col min="11270" max="11270" width="17.28515625" style="587" customWidth="1"/>
    <col min="11271" max="11516" width="10.28515625" style="587" customWidth="1"/>
    <col min="11517" max="11517" width="10.42578125" style="587"/>
    <col min="11518" max="11518" width="5.85546875" style="587" customWidth="1"/>
    <col min="11519" max="11519" width="56.140625" style="587" customWidth="1"/>
    <col min="11520" max="11520" width="15.140625" style="587" customWidth="1"/>
    <col min="11521" max="11521" width="14.85546875" style="587" customWidth="1"/>
    <col min="11522" max="11523" width="13.28515625" style="587" customWidth="1"/>
    <col min="11524" max="11525" width="0" style="587" hidden="1" customWidth="1"/>
    <col min="11526" max="11526" width="17.28515625" style="587" customWidth="1"/>
    <col min="11527" max="11772" width="10.28515625" style="587" customWidth="1"/>
    <col min="11773" max="11773" width="10.42578125" style="587"/>
    <col min="11774" max="11774" width="5.85546875" style="587" customWidth="1"/>
    <col min="11775" max="11775" width="56.140625" style="587" customWidth="1"/>
    <col min="11776" max="11776" width="15.140625" style="587" customWidth="1"/>
    <col min="11777" max="11777" width="14.85546875" style="587" customWidth="1"/>
    <col min="11778" max="11779" width="13.28515625" style="587" customWidth="1"/>
    <col min="11780" max="11781" width="0" style="587" hidden="1" customWidth="1"/>
    <col min="11782" max="11782" width="17.28515625" style="587" customWidth="1"/>
    <col min="11783" max="12028" width="10.28515625" style="587" customWidth="1"/>
    <col min="12029" max="12029" width="10.42578125" style="587"/>
    <col min="12030" max="12030" width="5.85546875" style="587" customWidth="1"/>
    <col min="12031" max="12031" width="56.140625" style="587" customWidth="1"/>
    <col min="12032" max="12032" width="15.140625" style="587" customWidth="1"/>
    <col min="12033" max="12033" width="14.85546875" style="587" customWidth="1"/>
    <col min="12034" max="12035" width="13.28515625" style="587" customWidth="1"/>
    <col min="12036" max="12037" width="0" style="587" hidden="1" customWidth="1"/>
    <col min="12038" max="12038" width="17.28515625" style="587" customWidth="1"/>
    <col min="12039" max="12284" width="10.28515625" style="587" customWidth="1"/>
    <col min="12285" max="12285" width="10.42578125" style="587"/>
    <col min="12286" max="12286" width="5.85546875" style="587" customWidth="1"/>
    <col min="12287" max="12287" width="56.140625" style="587" customWidth="1"/>
    <col min="12288" max="12288" width="15.140625" style="587" customWidth="1"/>
    <col min="12289" max="12289" width="14.85546875" style="587" customWidth="1"/>
    <col min="12290" max="12291" width="13.28515625" style="587" customWidth="1"/>
    <col min="12292" max="12293" width="0" style="587" hidden="1" customWidth="1"/>
    <col min="12294" max="12294" width="17.28515625" style="587" customWidth="1"/>
    <col min="12295" max="12540" width="10.28515625" style="587" customWidth="1"/>
    <col min="12541" max="12541" width="10.42578125" style="587"/>
    <col min="12542" max="12542" width="5.85546875" style="587" customWidth="1"/>
    <col min="12543" max="12543" width="56.140625" style="587" customWidth="1"/>
    <col min="12544" max="12544" width="15.140625" style="587" customWidth="1"/>
    <col min="12545" max="12545" width="14.85546875" style="587" customWidth="1"/>
    <col min="12546" max="12547" width="13.28515625" style="587" customWidth="1"/>
    <col min="12548" max="12549" width="0" style="587" hidden="1" customWidth="1"/>
    <col min="12550" max="12550" width="17.28515625" style="587" customWidth="1"/>
    <col min="12551" max="12796" width="10.28515625" style="587" customWidth="1"/>
    <col min="12797" max="12797" width="10.42578125" style="587"/>
    <col min="12798" max="12798" width="5.85546875" style="587" customWidth="1"/>
    <col min="12799" max="12799" width="56.140625" style="587" customWidth="1"/>
    <col min="12800" max="12800" width="15.140625" style="587" customWidth="1"/>
    <col min="12801" max="12801" width="14.85546875" style="587" customWidth="1"/>
    <col min="12802" max="12803" width="13.28515625" style="587" customWidth="1"/>
    <col min="12804" max="12805" width="0" style="587" hidden="1" customWidth="1"/>
    <col min="12806" max="12806" width="17.28515625" style="587" customWidth="1"/>
    <col min="12807" max="13052" width="10.28515625" style="587" customWidth="1"/>
    <col min="13053" max="13053" width="10.42578125" style="587"/>
    <col min="13054" max="13054" width="5.85546875" style="587" customWidth="1"/>
    <col min="13055" max="13055" width="56.140625" style="587" customWidth="1"/>
    <col min="13056" max="13056" width="15.140625" style="587" customWidth="1"/>
    <col min="13057" max="13057" width="14.85546875" style="587" customWidth="1"/>
    <col min="13058" max="13059" width="13.28515625" style="587" customWidth="1"/>
    <col min="13060" max="13061" width="0" style="587" hidden="1" customWidth="1"/>
    <col min="13062" max="13062" width="17.28515625" style="587" customWidth="1"/>
    <col min="13063" max="13308" width="10.28515625" style="587" customWidth="1"/>
    <col min="13309" max="13309" width="10.42578125" style="587"/>
    <col min="13310" max="13310" width="5.85546875" style="587" customWidth="1"/>
    <col min="13311" max="13311" width="56.140625" style="587" customWidth="1"/>
    <col min="13312" max="13312" width="15.140625" style="587" customWidth="1"/>
    <col min="13313" max="13313" width="14.85546875" style="587" customWidth="1"/>
    <col min="13314" max="13315" width="13.28515625" style="587" customWidth="1"/>
    <col min="13316" max="13317" width="0" style="587" hidden="1" customWidth="1"/>
    <col min="13318" max="13318" width="17.28515625" style="587" customWidth="1"/>
    <col min="13319" max="13564" width="10.28515625" style="587" customWidth="1"/>
    <col min="13565" max="13565" width="10.42578125" style="587"/>
    <col min="13566" max="13566" width="5.85546875" style="587" customWidth="1"/>
    <col min="13567" max="13567" width="56.140625" style="587" customWidth="1"/>
    <col min="13568" max="13568" width="15.140625" style="587" customWidth="1"/>
    <col min="13569" max="13569" width="14.85546875" style="587" customWidth="1"/>
    <col min="13570" max="13571" width="13.28515625" style="587" customWidth="1"/>
    <col min="13572" max="13573" width="0" style="587" hidden="1" customWidth="1"/>
    <col min="13574" max="13574" width="17.28515625" style="587" customWidth="1"/>
    <col min="13575" max="13820" width="10.28515625" style="587" customWidth="1"/>
    <col min="13821" max="13821" width="10.42578125" style="587"/>
    <col min="13822" max="13822" width="5.85546875" style="587" customWidth="1"/>
    <col min="13823" max="13823" width="56.140625" style="587" customWidth="1"/>
    <col min="13824" max="13824" width="15.140625" style="587" customWidth="1"/>
    <col min="13825" max="13825" width="14.85546875" style="587" customWidth="1"/>
    <col min="13826" max="13827" width="13.28515625" style="587" customWidth="1"/>
    <col min="13828" max="13829" width="0" style="587" hidden="1" customWidth="1"/>
    <col min="13830" max="13830" width="17.28515625" style="587" customWidth="1"/>
    <col min="13831" max="14076" width="10.28515625" style="587" customWidth="1"/>
    <col min="14077" max="14077" width="10.42578125" style="587"/>
    <col min="14078" max="14078" width="5.85546875" style="587" customWidth="1"/>
    <col min="14079" max="14079" width="56.140625" style="587" customWidth="1"/>
    <col min="14080" max="14080" width="15.140625" style="587" customWidth="1"/>
    <col min="14081" max="14081" width="14.85546875" style="587" customWidth="1"/>
    <col min="14082" max="14083" width="13.28515625" style="587" customWidth="1"/>
    <col min="14084" max="14085" width="0" style="587" hidden="1" customWidth="1"/>
    <col min="14086" max="14086" width="17.28515625" style="587" customWidth="1"/>
    <col min="14087" max="14332" width="10.28515625" style="587" customWidth="1"/>
    <col min="14333" max="14333" width="10.42578125" style="587"/>
    <col min="14334" max="14334" width="5.85546875" style="587" customWidth="1"/>
    <col min="14335" max="14335" width="56.140625" style="587" customWidth="1"/>
    <col min="14336" max="14336" width="15.140625" style="587" customWidth="1"/>
    <col min="14337" max="14337" width="14.85546875" style="587" customWidth="1"/>
    <col min="14338" max="14339" width="13.28515625" style="587" customWidth="1"/>
    <col min="14340" max="14341" width="0" style="587" hidden="1" customWidth="1"/>
    <col min="14342" max="14342" width="17.28515625" style="587" customWidth="1"/>
    <col min="14343" max="14588" width="10.28515625" style="587" customWidth="1"/>
    <col min="14589" max="14589" width="10.42578125" style="587"/>
    <col min="14590" max="14590" width="5.85546875" style="587" customWidth="1"/>
    <col min="14591" max="14591" width="56.140625" style="587" customWidth="1"/>
    <col min="14592" max="14592" width="15.140625" style="587" customWidth="1"/>
    <col min="14593" max="14593" width="14.85546875" style="587" customWidth="1"/>
    <col min="14594" max="14595" width="13.28515625" style="587" customWidth="1"/>
    <col min="14596" max="14597" width="0" style="587" hidden="1" customWidth="1"/>
    <col min="14598" max="14598" width="17.28515625" style="587" customWidth="1"/>
    <col min="14599" max="14844" width="10.28515625" style="587" customWidth="1"/>
    <col min="14845" max="14845" width="10.42578125" style="587"/>
    <col min="14846" max="14846" width="5.85546875" style="587" customWidth="1"/>
    <col min="14847" max="14847" width="56.140625" style="587" customWidth="1"/>
    <col min="14848" max="14848" width="15.140625" style="587" customWidth="1"/>
    <col min="14849" max="14849" width="14.85546875" style="587" customWidth="1"/>
    <col min="14850" max="14851" width="13.28515625" style="587" customWidth="1"/>
    <col min="14852" max="14853" width="0" style="587" hidden="1" customWidth="1"/>
    <col min="14854" max="14854" width="17.28515625" style="587" customWidth="1"/>
    <col min="14855" max="15100" width="10.28515625" style="587" customWidth="1"/>
    <col min="15101" max="15101" width="10.42578125" style="587"/>
    <col min="15102" max="15102" width="5.85546875" style="587" customWidth="1"/>
    <col min="15103" max="15103" width="56.140625" style="587" customWidth="1"/>
    <col min="15104" max="15104" width="15.140625" style="587" customWidth="1"/>
    <col min="15105" max="15105" width="14.85546875" style="587" customWidth="1"/>
    <col min="15106" max="15107" width="13.28515625" style="587" customWidth="1"/>
    <col min="15108" max="15109" width="0" style="587" hidden="1" customWidth="1"/>
    <col min="15110" max="15110" width="17.28515625" style="587" customWidth="1"/>
    <col min="15111" max="15356" width="10.28515625" style="587" customWidth="1"/>
    <col min="15357" max="15357" width="10.42578125" style="587"/>
    <col min="15358" max="15358" width="5.85546875" style="587" customWidth="1"/>
    <col min="15359" max="15359" width="56.140625" style="587" customWidth="1"/>
    <col min="15360" max="15360" width="15.140625" style="587" customWidth="1"/>
    <col min="15361" max="15361" width="14.85546875" style="587" customWidth="1"/>
    <col min="15362" max="15363" width="13.28515625" style="587" customWidth="1"/>
    <col min="15364" max="15365" width="0" style="587" hidden="1" customWidth="1"/>
    <col min="15366" max="15366" width="17.28515625" style="587" customWidth="1"/>
    <col min="15367" max="15612" width="10.28515625" style="587" customWidth="1"/>
    <col min="15613" max="15613" width="10.42578125" style="587"/>
    <col min="15614" max="15614" width="5.85546875" style="587" customWidth="1"/>
    <col min="15615" max="15615" width="56.140625" style="587" customWidth="1"/>
    <col min="15616" max="15616" width="15.140625" style="587" customWidth="1"/>
    <col min="15617" max="15617" width="14.85546875" style="587" customWidth="1"/>
    <col min="15618" max="15619" width="13.28515625" style="587" customWidth="1"/>
    <col min="15620" max="15621" width="0" style="587" hidden="1" customWidth="1"/>
    <col min="15622" max="15622" width="17.28515625" style="587" customWidth="1"/>
    <col min="15623" max="15868" width="10.28515625" style="587" customWidth="1"/>
    <col min="15869" max="15869" width="10.42578125" style="587"/>
    <col min="15870" max="15870" width="5.85546875" style="587" customWidth="1"/>
    <col min="15871" max="15871" width="56.140625" style="587" customWidth="1"/>
    <col min="15872" max="15872" width="15.140625" style="587" customWidth="1"/>
    <col min="15873" max="15873" width="14.85546875" style="587" customWidth="1"/>
    <col min="15874" max="15875" width="13.28515625" style="587" customWidth="1"/>
    <col min="15876" max="15877" width="0" style="587" hidden="1" customWidth="1"/>
    <col min="15878" max="15878" width="17.28515625" style="587" customWidth="1"/>
    <col min="15879" max="16124" width="10.28515625" style="587" customWidth="1"/>
    <col min="16125" max="16125" width="10.42578125" style="587"/>
    <col min="16126" max="16126" width="5.85546875" style="587" customWidth="1"/>
    <col min="16127" max="16127" width="56.140625" style="587" customWidth="1"/>
    <col min="16128" max="16128" width="15.140625" style="587" customWidth="1"/>
    <col min="16129" max="16129" width="14.85546875" style="587" customWidth="1"/>
    <col min="16130" max="16131" width="13.28515625" style="587" customWidth="1"/>
    <col min="16132" max="16133" width="0" style="587" hidden="1" customWidth="1"/>
    <col min="16134" max="16134" width="17.28515625" style="587" customWidth="1"/>
    <col min="16135" max="16380" width="10.28515625" style="587" customWidth="1"/>
    <col min="16381" max="16384" width="10.42578125" style="587"/>
  </cols>
  <sheetData>
    <row r="1" spans="1:8" ht="21" customHeight="1">
      <c r="A1" s="585"/>
      <c r="B1" s="585"/>
      <c r="C1" s="586"/>
      <c r="D1" s="586"/>
      <c r="E1" s="1059" t="s">
        <v>0</v>
      </c>
      <c r="F1" s="1059"/>
    </row>
    <row r="2" spans="1:8" ht="21" customHeight="1">
      <c r="A2" s="1059" t="s">
        <v>1</v>
      </c>
      <c r="B2" s="1059"/>
      <c r="C2" s="1059"/>
      <c r="D2" s="1059"/>
      <c r="E2" s="1059"/>
      <c r="F2" s="1059"/>
    </row>
    <row r="3" spans="1:8" ht="21" customHeight="1">
      <c r="A3" s="1060" t="s">
        <v>688</v>
      </c>
      <c r="B3" s="1060"/>
      <c r="C3" s="1060"/>
      <c r="D3" s="1060"/>
      <c r="E3" s="1060"/>
      <c r="F3" s="1060"/>
    </row>
    <row r="4" spans="1:8" ht="19.5" customHeight="1">
      <c r="A4" s="588"/>
      <c r="B4" s="478"/>
      <c r="C4" s="589"/>
      <c r="D4" s="589"/>
      <c r="E4" s="1061" t="s">
        <v>2</v>
      </c>
      <c r="F4" s="1061"/>
    </row>
    <row r="5" spans="1:8" s="590" customFormat="1" ht="24" customHeight="1">
      <c r="A5" s="1062" t="s">
        <v>3</v>
      </c>
      <c r="B5" s="1062" t="s">
        <v>4</v>
      </c>
      <c r="C5" s="1058" t="s">
        <v>5</v>
      </c>
      <c r="D5" s="1058" t="s">
        <v>6</v>
      </c>
      <c r="E5" s="1062" t="s">
        <v>7</v>
      </c>
      <c r="F5" s="1062"/>
    </row>
    <row r="6" spans="1:8" s="590" customFormat="1" ht="24" customHeight="1">
      <c r="A6" s="1062"/>
      <c r="B6" s="1062"/>
      <c r="C6" s="1058"/>
      <c r="D6" s="1058"/>
      <c r="E6" s="1062" t="s">
        <v>8</v>
      </c>
      <c r="F6" s="1058" t="s">
        <v>9</v>
      </c>
    </row>
    <row r="7" spans="1:8" s="590" customFormat="1" ht="24" customHeight="1">
      <c r="A7" s="1062"/>
      <c r="B7" s="1062"/>
      <c r="C7" s="1058"/>
      <c r="D7" s="1058"/>
      <c r="E7" s="1062"/>
      <c r="F7" s="1058"/>
    </row>
    <row r="8" spans="1:8" s="592" customFormat="1" ht="17.25" customHeight="1">
      <c r="A8" s="591" t="s">
        <v>10</v>
      </c>
      <c r="B8" s="591" t="s">
        <v>11</v>
      </c>
      <c r="C8" s="591">
        <v>1</v>
      </c>
      <c r="D8" s="591">
        <f>C8+1</f>
        <v>2</v>
      </c>
      <c r="E8" s="591" t="s">
        <v>12</v>
      </c>
      <c r="F8" s="591" t="s">
        <v>13</v>
      </c>
    </row>
    <row r="9" spans="1:8" s="589" customFormat="1" ht="21.75" customHeight="1">
      <c r="A9" s="593" t="s">
        <v>10</v>
      </c>
      <c r="B9" s="594" t="s">
        <v>14</v>
      </c>
      <c r="C9" s="595"/>
      <c r="D9" s="595"/>
      <c r="E9" s="595"/>
      <c r="F9" s="595"/>
    </row>
    <row r="10" spans="1:8" s="589" customFormat="1" ht="21.75" customHeight="1">
      <c r="A10" s="84" t="s">
        <v>15</v>
      </c>
      <c r="B10" s="596" t="s">
        <v>16</v>
      </c>
      <c r="C10" s="86">
        <f>C11+C12+C15+C16+C17</f>
        <v>9077084</v>
      </c>
      <c r="D10" s="86">
        <f>D11+D12+D15+D16+D17</f>
        <v>14942719.92888</v>
      </c>
      <c r="E10" s="86">
        <f>D10-C10</f>
        <v>5865635.9288800005</v>
      </c>
      <c r="F10" s="597">
        <f>D10/C10</f>
        <v>1.6462026713512843</v>
      </c>
      <c r="G10" s="598"/>
      <c r="H10" s="598"/>
    </row>
    <row r="11" spans="1:8" s="589" customFormat="1" ht="21.75" customHeight="1">
      <c r="A11" s="599">
        <v>1</v>
      </c>
      <c r="B11" s="600" t="s">
        <v>17</v>
      </c>
      <c r="C11" s="525">
        <f>'PL12'!C10-'PL19'!C27</f>
        <v>2573560</v>
      </c>
      <c r="D11" s="525">
        <f>'PL12'!D10-D27</f>
        <v>2508653</v>
      </c>
      <c r="E11" s="525">
        <f t="shared" ref="E11:E34" si="0">D11-C11</f>
        <v>-64907</v>
      </c>
      <c r="F11" s="601">
        <f t="shared" ref="F11:F34" si="1">D11/C11</f>
        <v>0.97477929405181929</v>
      </c>
      <c r="G11" s="598"/>
    </row>
    <row r="12" spans="1:8" s="589" customFormat="1" ht="21.75" customHeight="1">
      <c r="A12" s="602">
        <f>A11+1</f>
        <v>2</v>
      </c>
      <c r="B12" s="600" t="s">
        <v>18</v>
      </c>
      <c r="C12" s="525">
        <f>C13+C14</f>
        <v>6503524</v>
      </c>
      <c r="D12" s="525">
        <f>D13+D14</f>
        <v>8453028.4000000004</v>
      </c>
      <c r="E12" s="525">
        <f t="shared" si="0"/>
        <v>1949504.4000000004</v>
      </c>
      <c r="F12" s="601">
        <f t="shared" si="1"/>
        <v>1.2997612371385114</v>
      </c>
    </row>
    <row r="13" spans="1:8" s="589" customFormat="1" ht="21.75" customHeight="1">
      <c r="A13" s="599" t="s">
        <v>19</v>
      </c>
      <c r="B13" s="600" t="s">
        <v>20</v>
      </c>
      <c r="C13" s="525">
        <f>'PL12'!C14</f>
        <v>4162191</v>
      </c>
      <c r="D13" s="525">
        <f>'PL12'!D14</f>
        <v>4162191</v>
      </c>
      <c r="E13" s="525">
        <f t="shared" si="0"/>
        <v>0</v>
      </c>
      <c r="F13" s="601">
        <f t="shared" si="1"/>
        <v>1</v>
      </c>
    </row>
    <row r="14" spans="1:8" s="589" customFormat="1" ht="21.75" customHeight="1">
      <c r="A14" s="599" t="s">
        <v>19</v>
      </c>
      <c r="B14" s="600" t="s">
        <v>21</v>
      </c>
      <c r="C14" s="525">
        <f>'PL12'!C15</f>
        <v>2341333</v>
      </c>
      <c r="D14" s="525">
        <f>'PL12'!D15</f>
        <v>4290837.4000000004</v>
      </c>
      <c r="E14" s="525">
        <f t="shared" si="0"/>
        <v>1949504.4000000004</v>
      </c>
      <c r="F14" s="601">
        <f t="shared" si="1"/>
        <v>1.8326472142151502</v>
      </c>
      <c r="G14" s="598"/>
    </row>
    <row r="15" spans="1:8" s="589" customFormat="1" ht="21.75" customHeight="1">
      <c r="A15" s="602">
        <f>A12+1</f>
        <v>3</v>
      </c>
      <c r="B15" s="600" t="s">
        <v>22</v>
      </c>
      <c r="C15" s="525"/>
      <c r="D15" s="525">
        <f>'PL12'!D16</f>
        <v>0</v>
      </c>
      <c r="E15" s="525">
        <f t="shared" si="0"/>
        <v>0</v>
      </c>
      <c r="F15" s="601"/>
    </row>
    <row r="16" spans="1:8" s="589" customFormat="1" ht="21.75" customHeight="1">
      <c r="A16" s="602">
        <f>A15+1</f>
        <v>4</v>
      </c>
      <c r="B16" s="600" t="s">
        <v>23</v>
      </c>
      <c r="C16" s="525"/>
      <c r="D16" s="525">
        <f>'PL12'!D17-D31</f>
        <v>137352</v>
      </c>
      <c r="E16" s="525">
        <f t="shared" si="0"/>
        <v>137352</v>
      </c>
      <c r="F16" s="601"/>
      <c r="G16" s="598"/>
      <c r="H16" s="584"/>
    </row>
    <row r="17" spans="1:11" s="589" customFormat="1" ht="21.75" customHeight="1">
      <c r="A17" s="602">
        <f>A16+1</f>
        <v>5</v>
      </c>
      <c r="B17" s="600" t="s">
        <v>24</v>
      </c>
      <c r="C17" s="525"/>
      <c r="D17" s="525">
        <f>'PL12'!D18-D32</f>
        <v>3843686.5288800001</v>
      </c>
      <c r="E17" s="525">
        <f t="shared" si="0"/>
        <v>3843686.5288800001</v>
      </c>
      <c r="F17" s="601"/>
      <c r="G17" s="598"/>
      <c r="H17" s="584"/>
    </row>
    <row r="18" spans="1:11" s="589" customFormat="1" ht="21.75" customHeight="1">
      <c r="A18" s="84" t="s">
        <v>25</v>
      </c>
      <c r="B18" s="596" t="s">
        <v>26</v>
      </c>
      <c r="C18" s="86">
        <f>C19+C20</f>
        <v>9077084</v>
      </c>
      <c r="D18" s="86">
        <f>D19+D20</f>
        <v>14668239.833339</v>
      </c>
      <c r="E18" s="86">
        <f t="shared" si="0"/>
        <v>5591155.8333390001</v>
      </c>
      <c r="F18" s="597">
        <f t="shared" si="1"/>
        <v>1.6159638748896672</v>
      </c>
      <c r="G18" s="598">
        <f>D18+D33+D24-'PL12'!D9</f>
        <v>3094908.6000000015</v>
      </c>
      <c r="H18" s="598">
        <f>G18-D20</f>
        <v>-265823.39999999851</v>
      </c>
      <c r="J18" s="598"/>
    </row>
    <row r="19" spans="1:11" s="589" customFormat="1" ht="21.75" customHeight="1">
      <c r="A19" s="599">
        <v>1</v>
      </c>
      <c r="B19" s="600" t="s">
        <v>27</v>
      </c>
      <c r="C19" s="525">
        <f>'PL30'!C20</f>
        <v>5896895</v>
      </c>
      <c r="D19" s="525">
        <f>'PL22'!G10-D24</f>
        <v>11307507.833339</v>
      </c>
      <c r="E19" s="525">
        <f t="shared" si="0"/>
        <v>5410612.8333390001</v>
      </c>
      <c r="F19" s="601">
        <f t="shared" si="1"/>
        <v>1.917535895304054</v>
      </c>
    </row>
    <row r="20" spans="1:11" s="589" customFormat="1" ht="21.75" customHeight="1">
      <c r="A20" s="602">
        <f>A19+1</f>
        <v>2</v>
      </c>
      <c r="B20" s="600" t="s">
        <v>28</v>
      </c>
      <c r="C20" s="525">
        <f>C21+C22</f>
        <v>3180189</v>
      </c>
      <c r="D20" s="525">
        <f>D21+D22</f>
        <v>3360732</v>
      </c>
      <c r="E20" s="525">
        <f t="shared" si="0"/>
        <v>180543</v>
      </c>
      <c r="F20" s="601">
        <f t="shared" si="1"/>
        <v>1.0567711541672524</v>
      </c>
    </row>
    <row r="21" spans="1:11" s="589" customFormat="1" ht="21.75" customHeight="1">
      <c r="A21" s="599" t="s">
        <v>19</v>
      </c>
      <c r="B21" s="600" t="s">
        <v>29</v>
      </c>
      <c r="C21" s="525">
        <f>'PL30'!C22</f>
        <v>2839107</v>
      </c>
      <c r="D21" s="525">
        <f>C21</f>
        <v>2839107</v>
      </c>
      <c r="E21" s="525">
        <f t="shared" si="0"/>
        <v>0</v>
      </c>
      <c r="F21" s="601">
        <f t="shared" si="1"/>
        <v>1</v>
      </c>
    </row>
    <row r="22" spans="1:11" s="589" customFormat="1" ht="21.75" customHeight="1">
      <c r="A22" s="599" t="s">
        <v>19</v>
      </c>
      <c r="B22" s="600" t="s">
        <v>30</v>
      </c>
      <c r="C22" s="525">
        <f>'PL30'!C23</f>
        <v>341082</v>
      </c>
      <c r="D22" s="525">
        <f>'PL23'!D49</f>
        <v>521625</v>
      </c>
      <c r="E22" s="525">
        <f t="shared" si="0"/>
        <v>180543</v>
      </c>
      <c r="F22" s="601">
        <f t="shared" si="1"/>
        <v>1.5293243267014971</v>
      </c>
      <c r="G22" s="598"/>
    </row>
    <row r="23" spans="1:11" s="589" customFormat="1" ht="21.75" customHeight="1">
      <c r="A23" s="602">
        <f>A20+1</f>
        <v>3</v>
      </c>
      <c r="B23" s="600" t="s">
        <v>31</v>
      </c>
      <c r="C23" s="525"/>
      <c r="D23" s="525"/>
      <c r="E23" s="525">
        <f t="shared" si="0"/>
        <v>0</v>
      </c>
      <c r="F23" s="601"/>
    </row>
    <row r="24" spans="1:11" s="87" customFormat="1" ht="21.75" customHeight="1">
      <c r="A24" s="84" t="s">
        <v>32</v>
      </c>
      <c r="B24" s="603" t="s">
        <v>689</v>
      </c>
      <c r="C24" s="86">
        <v>77200</v>
      </c>
      <c r="D24" s="86">
        <f>'PL22'!F33</f>
        <v>8657.4</v>
      </c>
      <c r="E24" s="86">
        <f t="shared" si="0"/>
        <v>-68542.600000000006</v>
      </c>
      <c r="F24" s="597">
        <f t="shared" si="1"/>
        <v>0.11214248704663211</v>
      </c>
    </row>
    <row r="25" spans="1:11" s="589" customFormat="1" ht="21.75" customHeight="1">
      <c r="A25" s="84" t="s">
        <v>11</v>
      </c>
      <c r="B25" s="603" t="s">
        <v>33</v>
      </c>
      <c r="C25" s="525"/>
      <c r="D25" s="525"/>
      <c r="E25" s="525">
        <f t="shared" si="0"/>
        <v>0</v>
      </c>
      <c r="F25" s="601"/>
    </row>
    <row r="26" spans="1:11" s="589" customFormat="1" ht="21.75" customHeight="1">
      <c r="A26" s="84" t="s">
        <v>15</v>
      </c>
      <c r="B26" s="596" t="s">
        <v>16</v>
      </c>
      <c r="C26" s="86">
        <f>C27+C28+C31+C32</f>
        <v>4737229</v>
      </c>
      <c r="D26" s="86">
        <f>D27+D28+D31+D32</f>
        <v>5403456.4711199999</v>
      </c>
      <c r="E26" s="86">
        <f t="shared" si="0"/>
        <v>666227.47111999989</v>
      </c>
      <c r="F26" s="597">
        <f t="shared" si="1"/>
        <v>1.1406365348012519</v>
      </c>
      <c r="G26" s="598">
        <f>D26-D33</f>
        <v>0.70445900037884712</v>
      </c>
      <c r="K26" s="598"/>
    </row>
    <row r="27" spans="1:11" s="589" customFormat="1" ht="21.75" customHeight="1">
      <c r="A27" s="599">
        <v>1</v>
      </c>
      <c r="B27" s="600" t="s">
        <v>17</v>
      </c>
      <c r="C27" s="525">
        <f>'PL30'!C28</f>
        <v>1557040</v>
      </c>
      <c r="D27" s="525">
        <f>'PL12'!D12</f>
        <v>1422347</v>
      </c>
      <c r="E27" s="525">
        <f t="shared" si="0"/>
        <v>-134693</v>
      </c>
      <c r="F27" s="601">
        <f t="shared" si="1"/>
        <v>0.91349419411190469</v>
      </c>
    </row>
    <row r="28" spans="1:11" s="589" customFormat="1" ht="21.75" customHeight="1">
      <c r="A28" s="602">
        <f>A27+1</f>
        <v>2</v>
      </c>
      <c r="B28" s="600" t="s">
        <v>18</v>
      </c>
      <c r="C28" s="525">
        <f>C29+C30</f>
        <v>3180189</v>
      </c>
      <c r="D28" s="525">
        <f>D29+D30</f>
        <v>3360732</v>
      </c>
      <c r="E28" s="525">
        <f t="shared" si="0"/>
        <v>180543</v>
      </c>
      <c r="F28" s="601">
        <f t="shared" si="1"/>
        <v>1.0567711541672524</v>
      </c>
    </row>
    <row r="29" spans="1:11" s="589" customFormat="1" ht="21.75" customHeight="1">
      <c r="A29" s="599" t="s">
        <v>19</v>
      </c>
      <c r="B29" s="600" t="s">
        <v>20</v>
      </c>
      <c r="C29" s="525">
        <f>C21</f>
        <v>2839107</v>
      </c>
      <c r="D29" s="525">
        <f>D21</f>
        <v>2839107</v>
      </c>
      <c r="E29" s="525">
        <f t="shared" si="0"/>
        <v>0</v>
      </c>
      <c r="F29" s="601">
        <f t="shared" si="1"/>
        <v>1</v>
      </c>
    </row>
    <row r="30" spans="1:11" s="589" customFormat="1" ht="21.75" customHeight="1">
      <c r="A30" s="599" t="s">
        <v>19</v>
      </c>
      <c r="B30" s="600" t="s">
        <v>21</v>
      </c>
      <c r="C30" s="525">
        <f>C22</f>
        <v>341082</v>
      </c>
      <c r="D30" s="525">
        <f>D22</f>
        <v>521625</v>
      </c>
      <c r="E30" s="525">
        <f t="shared" si="0"/>
        <v>180543</v>
      </c>
      <c r="F30" s="601">
        <f t="shared" si="1"/>
        <v>1.5293243267014971</v>
      </c>
    </row>
    <row r="31" spans="1:11" s="589" customFormat="1" ht="21.75" customHeight="1">
      <c r="A31" s="602">
        <f>A28+1</f>
        <v>3</v>
      </c>
      <c r="B31" s="600" t="s">
        <v>23</v>
      </c>
      <c r="C31" s="525"/>
      <c r="D31" s="525">
        <f>'PL12'!D17*20%</f>
        <v>34338</v>
      </c>
      <c r="E31" s="525">
        <f t="shared" si="0"/>
        <v>34338</v>
      </c>
      <c r="F31" s="601"/>
    </row>
    <row r="32" spans="1:11" s="589" customFormat="1" ht="21.75" customHeight="1">
      <c r="A32" s="602">
        <f>A31+1</f>
        <v>4</v>
      </c>
      <c r="B32" s="600" t="s">
        <v>24</v>
      </c>
      <c r="C32" s="525"/>
      <c r="D32" s="525">
        <f>1570181.47112-984142</f>
        <v>586039.47111999989</v>
      </c>
      <c r="E32" s="525">
        <f t="shared" si="0"/>
        <v>586039.47111999989</v>
      </c>
      <c r="F32" s="601"/>
    </row>
    <row r="33" spans="1:253" s="589" customFormat="1" ht="21.75" customHeight="1">
      <c r="A33" s="84" t="s">
        <v>25</v>
      </c>
      <c r="B33" s="596" t="s">
        <v>26</v>
      </c>
      <c r="C33" s="86">
        <f>C34</f>
        <v>4737229</v>
      </c>
      <c r="D33" s="86">
        <f>D34</f>
        <v>5403455.7666609995</v>
      </c>
      <c r="E33" s="86">
        <f t="shared" si="0"/>
        <v>666226.76666099951</v>
      </c>
      <c r="F33" s="597">
        <f t="shared" si="1"/>
        <v>1.1406363860942756</v>
      </c>
    </row>
    <row r="34" spans="1:253" s="589" customFormat="1" ht="21.75" customHeight="1">
      <c r="A34" s="599">
        <v>1</v>
      </c>
      <c r="B34" s="600" t="s">
        <v>690</v>
      </c>
      <c r="C34" s="525">
        <f>C26</f>
        <v>4737229</v>
      </c>
      <c r="D34" s="525">
        <f>'PL22'!H10</f>
        <v>5403455.7666609995</v>
      </c>
      <c r="E34" s="525">
        <f t="shared" si="0"/>
        <v>666226.76666099951</v>
      </c>
      <c r="F34" s="601">
        <f t="shared" si="1"/>
        <v>1.1406363860942756</v>
      </c>
    </row>
    <row r="35" spans="1:253" s="589" customFormat="1" ht="21.75" hidden="1" customHeight="1" outlineLevel="1">
      <c r="A35" s="602">
        <f>A34+1</f>
        <v>2</v>
      </c>
      <c r="B35" s="600" t="s">
        <v>34</v>
      </c>
      <c r="C35" s="525"/>
      <c r="D35" s="525"/>
      <c r="E35" s="525"/>
      <c r="F35" s="525"/>
      <c r="IS35" s="589">
        <f>SUM(A35:IR35)</f>
        <v>2</v>
      </c>
    </row>
    <row r="36" spans="1:253" s="589" customFormat="1" ht="21.75" hidden="1" customHeight="1" outlineLevel="1">
      <c r="A36" s="599" t="s">
        <v>19</v>
      </c>
      <c r="B36" s="600" t="s">
        <v>29</v>
      </c>
      <c r="C36" s="525"/>
      <c r="D36" s="525"/>
      <c r="E36" s="525"/>
      <c r="F36" s="525"/>
    </row>
    <row r="37" spans="1:253" s="589" customFormat="1" ht="21.75" hidden="1" customHeight="1" outlineLevel="1">
      <c r="A37" s="599" t="s">
        <v>19</v>
      </c>
      <c r="B37" s="600" t="s">
        <v>30</v>
      </c>
      <c r="C37" s="525"/>
      <c r="D37" s="525"/>
      <c r="E37" s="525"/>
      <c r="F37" s="525"/>
    </row>
    <row r="38" spans="1:253" s="589" customFormat="1" ht="21.75" hidden="1" customHeight="1" outlineLevel="1">
      <c r="A38" s="602">
        <f>A35+1</f>
        <v>3</v>
      </c>
      <c r="B38" s="600" t="s">
        <v>31</v>
      </c>
      <c r="C38" s="525"/>
      <c r="D38" s="525"/>
      <c r="E38" s="525"/>
      <c r="F38" s="525"/>
      <c r="IS38" s="589">
        <f>SUM(A38:IR38)</f>
        <v>3</v>
      </c>
    </row>
    <row r="39" spans="1:253" ht="21.75" customHeight="1" collapsed="1">
      <c r="A39" s="604"/>
      <c r="B39" s="604"/>
      <c r="C39" s="604"/>
      <c r="D39" s="604"/>
      <c r="E39" s="604"/>
      <c r="F39" s="604"/>
    </row>
    <row r="40" spans="1:253" ht="15.95" customHeight="1">
      <c r="A40" s="605" t="s">
        <v>35</v>
      </c>
      <c r="B40" s="605"/>
    </row>
    <row r="41" spans="1:253" ht="27.75" customHeight="1">
      <c r="A41" s="605"/>
      <c r="B41" s="605" t="s">
        <v>36</v>
      </c>
    </row>
    <row r="42" spans="1:253" ht="15" customHeight="1">
      <c r="A42" s="589"/>
      <c r="B42" s="589"/>
      <c r="C42" s="589"/>
      <c r="D42" s="589"/>
      <c r="E42" s="589"/>
      <c r="F42" s="589"/>
    </row>
    <row r="43" spans="1:253" ht="18.75">
      <c r="A43" s="589"/>
      <c r="B43" s="589"/>
      <c r="C43" s="589"/>
      <c r="D43" s="589"/>
      <c r="E43" s="589"/>
      <c r="F43" s="589"/>
    </row>
    <row r="44" spans="1:253" ht="18.75">
      <c r="A44" s="589"/>
      <c r="B44" s="589"/>
      <c r="C44" s="589"/>
      <c r="D44" s="589"/>
      <c r="E44" s="589"/>
      <c r="F44" s="589"/>
    </row>
    <row r="45" spans="1:253" ht="18.75">
      <c r="A45" s="589"/>
      <c r="B45" s="589"/>
      <c r="C45" s="589"/>
      <c r="D45" s="589"/>
      <c r="E45" s="589"/>
      <c r="F45" s="589"/>
    </row>
    <row r="46" spans="1:253" ht="22.5" customHeight="1">
      <c r="A46" s="589"/>
      <c r="B46" s="589"/>
      <c r="C46" s="589"/>
      <c r="D46" s="589"/>
      <c r="E46" s="589"/>
      <c r="F46" s="589"/>
    </row>
    <row r="47" spans="1:253" ht="18.75">
      <c r="A47" s="589"/>
      <c r="B47" s="589"/>
      <c r="C47" s="589"/>
      <c r="D47" s="589"/>
      <c r="E47" s="589"/>
      <c r="F47" s="589"/>
    </row>
    <row r="48" spans="1:253" ht="18.75">
      <c r="A48" s="589"/>
      <c r="B48" s="589"/>
      <c r="C48" s="589"/>
      <c r="D48" s="589"/>
      <c r="E48" s="589"/>
      <c r="F48" s="589"/>
    </row>
    <row r="49" spans="1:6" ht="18.75">
      <c r="A49" s="589"/>
      <c r="B49" s="589"/>
      <c r="C49" s="589"/>
      <c r="D49" s="589"/>
      <c r="E49" s="589"/>
      <c r="F49" s="589"/>
    </row>
  </sheetData>
  <mergeCells count="11">
    <mergeCell ref="F6:F7"/>
    <mergeCell ref="E1:F1"/>
    <mergeCell ref="A2:F2"/>
    <mergeCell ref="A3:F3"/>
    <mergeCell ref="E4:F4"/>
    <mergeCell ref="A5:A7"/>
    <mergeCell ref="B5:B7"/>
    <mergeCell ref="C5:C7"/>
    <mergeCell ref="D5:D7"/>
    <mergeCell ref="E5:F5"/>
    <mergeCell ref="E6:E7"/>
  </mergeCells>
  <printOptions horizontalCentered="1"/>
  <pageMargins left="0.31" right="0.33" top="0.73" bottom="0.17" header="0.39" footer="0.2"/>
  <pageSetup paperSize="9" scale="83" fitToHeight="5" orientation="portrait" r:id="rId1"/>
  <headerFooter alignWithMargins="0">
    <oddHeader>&amp;C23</oddHeader>
    <oddFooter xml:space="preserve">&amp;C&amp;".VnTime,Italic"&amp;8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40"/>
  <sheetViews>
    <sheetView zoomScale="85" zoomScaleNormal="85" workbookViewId="0">
      <pane xSplit="2" ySplit="13" topLeftCell="C15" activePane="bottomRight" state="frozen"/>
      <selection activeCell="A40" sqref="A40:XFD41"/>
      <selection pane="topRight" activeCell="A40" sqref="A40:XFD41"/>
      <selection pane="bottomLeft" activeCell="A40" sqref="A40:XFD41"/>
      <selection pane="bottomRight" activeCell="A40" sqref="A40:XFD41"/>
    </sheetView>
  </sheetViews>
  <sheetFormatPr defaultRowHeight="15.75"/>
  <cols>
    <col min="1" max="1" width="5.85546875" style="42" customWidth="1"/>
    <col min="2" max="2" width="30.140625" style="42" customWidth="1"/>
    <col min="3" max="3" width="14.7109375" style="42" customWidth="1"/>
    <col min="4" max="4" width="14.28515625" style="42" customWidth="1"/>
    <col min="5" max="5" width="11.28515625" style="42" customWidth="1"/>
    <col min="6" max="6" width="12.7109375" style="42" customWidth="1"/>
    <col min="7" max="7" width="13" style="42" customWidth="1"/>
    <col min="8" max="8" width="12.7109375" style="42" customWidth="1"/>
    <col min="9" max="15" width="11.28515625" style="42" customWidth="1"/>
    <col min="16" max="256" width="9.140625" style="42"/>
    <col min="257" max="257" width="5.85546875" style="42" customWidth="1"/>
    <col min="258" max="258" width="30.140625" style="42" customWidth="1"/>
    <col min="259" max="259" width="14.7109375" style="42" customWidth="1"/>
    <col min="260" max="260" width="14.28515625" style="42" customWidth="1"/>
    <col min="261" max="261" width="11.28515625" style="42" customWidth="1"/>
    <col min="262" max="262" width="12.7109375" style="42" customWidth="1"/>
    <col min="263" max="263" width="13" style="42" customWidth="1"/>
    <col min="264" max="264" width="12.7109375" style="42" customWidth="1"/>
    <col min="265" max="271" width="11.28515625" style="42" customWidth="1"/>
    <col min="272" max="512" width="9.140625" style="42"/>
    <col min="513" max="513" width="5.85546875" style="42" customWidth="1"/>
    <col min="514" max="514" width="30.140625" style="42" customWidth="1"/>
    <col min="515" max="515" width="14.7109375" style="42" customWidth="1"/>
    <col min="516" max="516" width="14.28515625" style="42" customWidth="1"/>
    <col min="517" max="517" width="11.28515625" style="42" customWidth="1"/>
    <col min="518" max="518" width="12.7109375" style="42" customWidth="1"/>
    <col min="519" max="519" width="13" style="42" customWidth="1"/>
    <col min="520" max="520" width="12.7109375" style="42" customWidth="1"/>
    <col min="521" max="527" width="11.28515625" style="42" customWidth="1"/>
    <col min="528" max="768" width="9.140625" style="42"/>
    <col min="769" max="769" width="5.85546875" style="42" customWidth="1"/>
    <col min="770" max="770" width="30.140625" style="42" customWidth="1"/>
    <col min="771" max="771" width="14.7109375" style="42" customWidth="1"/>
    <col min="772" max="772" width="14.28515625" style="42" customWidth="1"/>
    <col min="773" max="773" width="11.28515625" style="42" customWidth="1"/>
    <col min="774" max="774" width="12.7109375" style="42" customWidth="1"/>
    <col min="775" max="775" width="13" style="42" customWidth="1"/>
    <col min="776" max="776" width="12.7109375" style="42" customWidth="1"/>
    <col min="777" max="783" width="11.28515625" style="42" customWidth="1"/>
    <col min="784" max="1024" width="9.140625" style="42"/>
    <col min="1025" max="1025" width="5.85546875" style="42" customWidth="1"/>
    <col min="1026" max="1026" width="30.140625" style="42" customWidth="1"/>
    <col min="1027" max="1027" width="14.7109375" style="42" customWidth="1"/>
    <col min="1028" max="1028" width="14.28515625" style="42" customWidth="1"/>
    <col min="1029" max="1029" width="11.28515625" style="42" customWidth="1"/>
    <col min="1030" max="1030" width="12.7109375" style="42" customWidth="1"/>
    <col min="1031" max="1031" width="13" style="42" customWidth="1"/>
    <col min="1032" max="1032" width="12.7109375" style="42" customWidth="1"/>
    <col min="1033" max="1039" width="11.28515625" style="42" customWidth="1"/>
    <col min="1040" max="1280" width="9.140625" style="42"/>
    <col min="1281" max="1281" width="5.85546875" style="42" customWidth="1"/>
    <col min="1282" max="1282" width="30.140625" style="42" customWidth="1"/>
    <col min="1283" max="1283" width="14.7109375" style="42" customWidth="1"/>
    <col min="1284" max="1284" width="14.28515625" style="42" customWidth="1"/>
    <col min="1285" max="1285" width="11.28515625" style="42" customWidth="1"/>
    <col min="1286" max="1286" width="12.7109375" style="42" customWidth="1"/>
    <col min="1287" max="1287" width="13" style="42" customWidth="1"/>
    <col min="1288" max="1288" width="12.7109375" style="42" customWidth="1"/>
    <col min="1289" max="1295" width="11.28515625" style="42" customWidth="1"/>
    <col min="1296" max="1536" width="9.140625" style="42"/>
    <col min="1537" max="1537" width="5.85546875" style="42" customWidth="1"/>
    <col min="1538" max="1538" width="30.140625" style="42" customWidth="1"/>
    <col min="1539" max="1539" width="14.7109375" style="42" customWidth="1"/>
    <col min="1540" max="1540" width="14.28515625" style="42" customWidth="1"/>
    <col min="1541" max="1541" width="11.28515625" style="42" customWidth="1"/>
    <col min="1542" max="1542" width="12.7109375" style="42" customWidth="1"/>
    <col min="1543" max="1543" width="13" style="42" customWidth="1"/>
    <col min="1544" max="1544" width="12.7109375" style="42" customWidth="1"/>
    <col min="1545" max="1551" width="11.28515625" style="42" customWidth="1"/>
    <col min="1552" max="1792" width="9.140625" style="42"/>
    <col min="1793" max="1793" width="5.85546875" style="42" customWidth="1"/>
    <col min="1794" max="1794" width="30.140625" style="42" customWidth="1"/>
    <col min="1795" max="1795" width="14.7109375" style="42" customWidth="1"/>
    <col min="1796" max="1796" width="14.28515625" style="42" customWidth="1"/>
    <col min="1797" max="1797" width="11.28515625" style="42" customWidth="1"/>
    <col min="1798" max="1798" width="12.7109375" style="42" customWidth="1"/>
    <col min="1799" max="1799" width="13" style="42" customWidth="1"/>
    <col min="1800" max="1800" width="12.7109375" style="42" customWidth="1"/>
    <col min="1801" max="1807" width="11.28515625" style="42" customWidth="1"/>
    <col min="1808" max="2048" width="9.140625" style="42"/>
    <col min="2049" max="2049" width="5.85546875" style="42" customWidth="1"/>
    <col min="2050" max="2050" width="30.140625" style="42" customWidth="1"/>
    <col min="2051" max="2051" width="14.7109375" style="42" customWidth="1"/>
    <col min="2052" max="2052" width="14.28515625" style="42" customWidth="1"/>
    <col min="2053" max="2053" width="11.28515625" style="42" customWidth="1"/>
    <col min="2054" max="2054" width="12.7109375" style="42" customWidth="1"/>
    <col min="2055" max="2055" width="13" style="42" customWidth="1"/>
    <col min="2056" max="2056" width="12.7109375" style="42" customWidth="1"/>
    <col min="2057" max="2063" width="11.28515625" style="42" customWidth="1"/>
    <col min="2064" max="2304" width="9.140625" style="42"/>
    <col min="2305" max="2305" width="5.85546875" style="42" customWidth="1"/>
    <col min="2306" max="2306" width="30.140625" style="42" customWidth="1"/>
    <col min="2307" max="2307" width="14.7109375" style="42" customWidth="1"/>
    <col min="2308" max="2308" width="14.28515625" style="42" customWidth="1"/>
    <col min="2309" max="2309" width="11.28515625" style="42" customWidth="1"/>
    <col min="2310" max="2310" width="12.7109375" style="42" customWidth="1"/>
    <col min="2311" max="2311" width="13" style="42" customWidth="1"/>
    <col min="2312" max="2312" width="12.7109375" style="42" customWidth="1"/>
    <col min="2313" max="2319" width="11.28515625" style="42" customWidth="1"/>
    <col min="2320" max="2560" width="9.140625" style="42"/>
    <col min="2561" max="2561" width="5.85546875" style="42" customWidth="1"/>
    <col min="2562" max="2562" width="30.140625" style="42" customWidth="1"/>
    <col min="2563" max="2563" width="14.7109375" style="42" customWidth="1"/>
    <col min="2564" max="2564" width="14.28515625" style="42" customWidth="1"/>
    <col min="2565" max="2565" width="11.28515625" style="42" customWidth="1"/>
    <col min="2566" max="2566" width="12.7109375" style="42" customWidth="1"/>
    <col min="2567" max="2567" width="13" style="42" customWidth="1"/>
    <col min="2568" max="2568" width="12.7109375" style="42" customWidth="1"/>
    <col min="2569" max="2575" width="11.28515625" style="42" customWidth="1"/>
    <col min="2576" max="2816" width="9.140625" style="42"/>
    <col min="2817" max="2817" width="5.85546875" style="42" customWidth="1"/>
    <col min="2818" max="2818" width="30.140625" style="42" customWidth="1"/>
    <col min="2819" max="2819" width="14.7109375" style="42" customWidth="1"/>
    <col min="2820" max="2820" width="14.28515625" style="42" customWidth="1"/>
    <col min="2821" max="2821" width="11.28515625" style="42" customWidth="1"/>
    <col min="2822" max="2822" width="12.7109375" style="42" customWidth="1"/>
    <col min="2823" max="2823" width="13" style="42" customWidth="1"/>
    <col min="2824" max="2824" width="12.7109375" style="42" customWidth="1"/>
    <col min="2825" max="2831" width="11.28515625" style="42" customWidth="1"/>
    <col min="2832" max="3072" width="9.140625" style="42"/>
    <col min="3073" max="3073" width="5.85546875" style="42" customWidth="1"/>
    <col min="3074" max="3074" width="30.140625" style="42" customWidth="1"/>
    <col min="3075" max="3075" width="14.7109375" style="42" customWidth="1"/>
    <col min="3076" max="3076" width="14.28515625" style="42" customWidth="1"/>
    <col min="3077" max="3077" width="11.28515625" style="42" customWidth="1"/>
    <col min="3078" max="3078" width="12.7109375" style="42" customWidth="1"/>
    <col min="3079" max="3079" width="13" style="42" customWidth="1"/>
    <col min="3080" max="3080" width="12.7109375" style="42" customWidth="1"/>
    <col min="3081" max="3087" width="11.28515625" style="42" customWidth="1"/>
    <col min="3088" max="3328" width="9.140625" style="42"/>
    <col min="3329" max="3329" width="5.85546875" style="42" customWidth="1"/>
    <col min="3330" max="3330" width="30.140625" style="42" customWidth="1"/>
    <col min="3331" max="3331" width="14.7109375" style="42" customWidth="1"/>
    <col min="3332" max="3332" width="14.28515625" style="42" customWidth="1"/>
    <col min="3333" max="3333" width="11.28515625" style="42" customWidth="1"/>
    <col min="3334" max="3334" width="12.7109375" style="42" customWidth="1"/>
    <col min="3335" max="3335" width="13" style="42" customWidth="1"/>
    <col min="3336" max="3336" width="12.7109375" style="42" customWidth="1"/>
    <col min="3337" max="3343" width="11.28515625" style="42" customWidth="1"/>
    <col min="3344" max="3584" width="9.140625" style="42"/>
    <col min="3585" max="3585" width="5.85546875" style="42" customWidth="1"/>
    <col min="3586" max="3586" width="30.140625" style="42" customWidth="1"/>
    <col min="3587" max="3587" width="14.7109375" style="42" customWidth="1"/>
    <col min="3588" max="3588" width="14.28515625" style="42" customWidth="1"/>
    <col min="3589" max="3589" width="11.28515625" style="42" customWidth="1"/>
    <col min="3590" max="3590" width="12.7109375" style="42" customWidth="1"/>
    <col min="3591" max="3591" width="13" style="42" customWidth="1"/>
    <col min="3592" max="3592" width="12.7109375" style="42" customWidth="1"/>
    <col min="3593" max="3599" width="11.28515625" style="42" customWidth="1"/>
    <col min="3600" max="3840" width="9.140625" style="42"/>
    <col min="3841" max="3841" width="5.85546875" style="42" customWidth="1"/>
    <col min="3842" max="3842" width="30.140625" style="42" customWidth="1"/>
    <col min="3843" max="3843" width="14.7109375" style="42" customWidth="1"/>
    <col min="3844" max="3844" width="14.28515625" style="42" customWidth="1"/>
    <col min="3845" max="3845" width="11.28515625" style="42" customWidth="1"/>
    <col min="3846" max="3846" width="12.7109375" style="42" customWidth="1"/>
    <col min="3847" max="3847" width="13" style="42" customWidth="1"/>
    <col min="3848" max="3848" width="12.7109375" style="42" customWidth="1"/>
    <col min="3849" max="3855" width="11.28515625" style="42" customWidth="1"/>
    <col min="3856" max="4096" width="9.140625" style="42"/>
    <col min="4097" max="4097" width="5.85546875" style="42" customWidth="1"/>
    <col min="4098" max="4098" width="30.140625" style="42" customWidth="1"/>
    <col min="4099" max="4099" width="14.7109375" style="42" customWidth="1"/>
    <col min="4100" max="4100" width="14.28515625" style="42" customWidth="1"/>
    <col min="4101" max="4101" width="11.28515625" style="42" customWidth="1"/>
    <col min="4102" max="4102" width="12.7109375" style="42" customWidth="1"/>
    <col min="4103" max="4103" width="13" style="42" customWidth="1"/>
    <col min="4104" max="4104" width="12.7109375" style="42" customWidth="1"/>
    <col min="4105" max="4111" width="11.28515625" style="42" customWidth="1"/>
    <col min="4112" max="4352" width="9.140625" style="42"/>
    <col min="4353" max="4353" width="5.85546875" style="42" customWidth="1"/>
    <col min="4354" max="4354" width="30.140625" style="42" customWidth="1"/>
    <col min="4355" max="4355" width="14.7109375" style="42" customWidth="1"/>
    <col min="4356" max="4356" width="14.28515625" style="42" customWidth="1"/>
    <col min="4357" max="4357" width="11.28515625" style="42" customWidth="1"/>
    <col min="4358" max="4358" width="12.7109375" style="42" customWidth="1"/>
    <col min="4359" max="4359" width="13" style="42" customWidth="1"/>
    <col min="4360" max="4360" width="12.7109375" style="42" customWidth="1"/>
    <col min="4361" max="4367" width="11.28515625" style="42" customWidth="1"/>
    <col min="4368" max="4608" width="9.140625" style="42"/>
    <col min="4609" max="4609" width="5.85546875" style="42" customWidth="1"/>
    <col min="4610" max="4610" width="30.140625" style="42" customWidth="1"/>
    <col min="4611" max="4611" width="14.7109375" style="42" customWidth="1"/>
    <col min="4612" max="4612" width="14.28515625" style="42" customWidth="1"/>
    <col min="4613" max="4613" width="11.28515625" style="42" customWidth="1"/>
    <col min="4614" max="4614" width="12.7109375" style="42" customWidth="1"/>
    <col min="4615" max="4615" width="13" style="42" customWidth="1"/>
    <col min="4616" max="4616" width="12.7109375" style="42" customWidth="1"/>
    <col min="4617" max="4623" width="11.28515625" style="42" customWidth="1"/>
    <col min="4624" max="4864" width="9.140625" style="42"/>
    <col min="4865" max="4865" width="5.85546875" style="42" customWidth="1"/>
    <col min="4866" max="4866" width="30.140625" style="42" customWidth="1"/>
    <col min="4867" max="4867" width="14.7109375" style="42" customWidth="1"/>
    <col min="4868" max="4868" width="14.28515625" style="42" customWidth="1"/>
    <col min="4869" max="4869" width="11.28515625" style="42" customWidth="1"/>
    <col min="4870" max="4870" width="12.7109375" style="42" customWidth="1"/>
    <col min="4871" max="4871" width="13" style="42" customWidth="1"/>
    <col min="4872" max="4872" width="12.7109375" style="42" customWidth="1"/>
    <col min="4873" max="4879" width="11.28515625" style="42" customWidth="1"/>
    <col min="4880" max="5120" width="9.140625" style="42"/>
    <col min="5121" max="5121" width="5.85546875" style="42" customWidth="1"/>
    <col min="5122" max="5122" width="30.140625" style="42" customWidth="1"/>
    <col min="5123" max="5123" width="14.7109375" style="42" customWidth="1"/>
    <col min="5124" max="5124" width="14.28515625" style="42" customWidth="1"/>
    <col min="5125" max="5125" width="11.28515625" style="42" customWidth="1"/>
    <col min="5126" max="5126" width="12.7109375" style="42" customWidth="1"/>
    <col min="5127" max="5127" width="13" style="42" customWidth="1"/>
    <col min="5128" max="5128" width="12.7109375" style="42" customWidth="1"/>
    <col min="5129" max="5135" width="11.28515625" style="42" customWidth="1"/>
    <col min="5136" max="5376" width="9.140625" style="42"/>
    <col min="5377" max="5377" width="5.85546875" style="42" customWidth="1"/>
    <col min="5378" max="5378" width="30.140625" style="42" customWidth="1"/>
    <col min="5379" max="5379" width="14.7109375" style="42" customWidth="1"/>
    <col min="5380" max="5380" width="14.28515625" style="42" customWidth="1"/>
    <col min="5381" max="5381" width="11.28515625" style="42" customWidth="1"/>
    <col min="5382" max="5382" width="12.7109375" style="42" customWidth="1"/>
    <col min="5383" max="5383" width="13" style="42" customWidth="1"/>
    <col min="5384" max="5384" width="12.7109375" style="42" customWidth="1"/>
    <col min="5385" max="5391" width="11.28515625" style="42" customWidth="1"/>
    <col min="5392" max="5632" width="9.140625" style="42"/>
    <col min="5633" max="5633" width="5.85546875" style="42" customWidth="1"/>
    <col min="5634" max="5634" width="30.140625" style="42" customWidth="1"/>
    <col min="5635" max="5635" width="14.7109375" style="42" customWidth="1"/>
    <col min="5636" max="5636" width="14.28515625" style="42" customWidth="1"/>
    <col min="5637" max="5637" width="11.28515625" style="42" customWidth="1"/>
    <col min="5638" max="5638" width="12.7109375" style="42" customWidth="1"/>
    <col min="5639" max="5639" width="13" style="42" customWidth="1"/>
    <col min="5640" max="5640" width="12.7109375" style="42" customWidth="1"/>
    <col min="5641" max="5647" width="11.28515625" style="42" customWidth="1"/>
    <col min="5648" max="5888" width="9.140625" style="42"/>
    <col min="5889" max="5889" width="5.85546875" style="42" customWidth="1"/>
    <col min="5890" max="5890" width="30.140625" style="42" customWidth="1"/>
    <col min="5891" max="5891" width="14.7109375" style="42" customWidth="1"/>
    <col min="5892" max="5892" width="14.28515625" style="42" customWidth="1"/>
    <col min="5893" max="5893" width="11.28515625" style="42" customWidth="1"/>
    <col min="5894" max="5894" width="12.7109375" style="42" customWidth="1"/>
    <col min="5895" max="5895" width="13" style="42" customWidth="1"/>
    <col min="5896" max="5896" width="12.7109375" style="42" customWidth="1"/>
    <col min="5897" max="5903" width="11.28515625" style="42" customWidth="1"/>
    <col min="5904" max="6144" width="9.140625" style="42"/>
    <col min="6145" max="6145" width="5.85546875" style="42" customWidth="1"/>
    <col min="6146" max="6146" width="30.140625" style="42" customWidth="1"/>
    <col min="6147" max="6147" width="14.7109375" style="42" customWidth="1"/>
    <col min="6148" max="6148" width="14.28515625" style="42" customWidth="1"/>
    <col min="6149" max="6149" width="11.28515625" style="42" customWidth="1"/>
    <col min="6150" max="6150" width="12.7109375" style="42" customWidth="1"/>
    <col min="6151" max="6151" width="13" style="42" customWidth="1"/>
    <col min="6152" max="6152" width="12.7109375" style="42" customWidth="1"/>
    <col min="6153" max="6159" width="11.28515625" style="42" customWidth="1"/>
    <col min="6160" max="6400" width="9.140625" style="42"/>
    <col min="6401" max="6401" width="5.85546875" style="42" customWidth="1"/>
    <col min="6402" max="6402" width="30.140625" style="42" customWidth="1"/>
    <col min="6403" max="6403" width="14.7109375" style="42" customWidth="1"/>
    <col min="6404" max="6404" width="14.28515625" style="42" customWidth="1"/>
    <col min="6405" max="6405" width="11.28515625" style="42" customWidth="1"/>
    <col min="6406" max="6406" width="12.7109375" style="42" customWidth="1"/>
    <col min="6407" max="6407" width="13" style="42" customWidth="1"/>
    <col min="6408" max="6408" width="12.7109375" style="42" customWidth="1"/>
    <col min="6409" max="6415" width="11.28515625" style="42" customWidth="1"/>
    <col min="6416" max="6656" width="9.140625" style="42"/>
    <col min="6657" max="6657" width="5.85546875" style="42" customWidth="1"/>
    <col min="6658" max="6658" width="30.140625" style="42" customWidth="1"/>
    <col min="6659" max="6659" width="14.7109375" style="42" customWidth="1"/>
    <col min="6660" max="6660" width="14.28515625" style="42" customWidth="1"/>
    <col min="6661" max="6661" width="11.28515625" style="42" customWidth="1"/>
    <col min="6662" max="6662" width="12.7109375" style="42" customWidth="1"/>
    <col min="6663" max="6663" width="13" style="42" customWidth="1"/>
    <col min="6664" max="6664" width="12.7109375" style="42" customWidth="1"/>
    <col min="6665" max="6671" width="11.28515625" style="42" customWidth="1"/>
    <col min="6672" max="6912" width="9.140625" style="42"/>
    <col min="6913" max="6913" width="5.85546875" style="42" customWidth="1"/>
    <col min="6914" max="6914" width="30.140625" style="42" customWidth="1"/>
    <col min="6915" max="6915" width="14.7109375" style="42" customWidth="1"/>
    <col min="6916" max="6916" width="14.28515625" style="42" customWidth="1"/>
    <col min="6917" max="6917" width="11.28515625" style="42" customWidth="1"/>
    <col min="6918" max="6918" width="12.7109375" style="42" customWidth="1"/>
    <col min="6919" max="6919" width="13" style="42" customWidth="1"/>
    <col min="6920" max="6920" width="12.7109375" style="42" customWidth="1"/>
    <col min="6921" max="6927" width="11.28515625" style="42" customWidth="1"/>
    <col min="6928" max="7168" width="9.140625" style="42"/>
    <col min="7169" max="7169" width="5.85546875" style="42" customWidth="1"/>
    <col min="7170" max="7170" width="30.140625" style="42" customWidth="1"/>
    <col min="7171" max="7171" width="14.7109375" style="42" customWidth="1"/>
    <col min="7172" max="7172" width="14.28515625" style="42" customWidth="1"/>
    <col min="7173" max="7173" width="11.28515625" style="42" customWidth="1"/>
    <col min="7174" max="7174" width="12.7109375" style="42" customWidth="1"/>
    <col min="7175" max="7175" width="13" style="42" customWidth="1"/>
    <col min="7176" max="7176" width="12.7109375" style="42" customWidth="1"/>
    <col min="7177" max="7183" width="11.28515625" style="42" customWidth="1"/>
    <col min="7184" max="7424" width="9.140625" style="42"/>
    <col min="7425" max="7425" width="5.85546875" style="42" customWidth="1"/>
    <col min="7426" max="7426" width="30.140625" style="42" customWidth="1"/>
    <col min="7427" max="7427" width="14.7109375" style="42" customWidth="1"/>
    <col min="7428" max="7428" width="14.28515625" style="42" customWidth="1"/>
    <col min="7429" max="7429" width="11.28515625" style="42" customWidth="1"/>
    <col min="7430" max="7430" width="12.7109375" style="42" customWidth="1"/>
    <col min="7431" max="7431" width="13" style="42" customWidth="1"/>
    <col min="7432" max="7432" width="12.7109375" style="42" customWidth="1"/>
    <col min="7433" max="7439" width="11.28515625" style="42" customWidth="1"/>
    <col min="7440" max="7680" width="9.140625" style="42"/>
    <col min="7681" max="7681" width="5.85546875" style="42" customWidth="1"/>
    <col min="7682" max="7682" width="30.140625" style="42" customWidth="1"/>
    <col min="7683" max="7683" width="14.7109375" style="42" customWidth="1"/>
    <col min="7684" max="7684" width="14.28515625" style="42" customWidth="1"/>
    <col min="7685" max="7685" width="11.28515625" style="42" customWidth="1"/>
    <col min="7686" max="7686" width="12.7109375" style="42" customWidth="1"/>
    <col min="7687" max="7687" width="13" style="42" customWidth="1"/>
    <col min="7688" max="7688" width="12.7109375" style="42" customWidth="1"/>
    <col min="7689" max="7695" width="11.28515625" style="42" customWidth="1"/>
    <col min="7696" max="7936" width="9.140625" style="42"/>
    <col min="7937" max="7937" width="5.85546875" style="42" customWidth="1"/>
    <col min="7938" max="7938" width="30.140625" style="42" customWidth="1"/>
    <col min="7939" max="7939" width="14.7109375" style="42" customWidth="1"/>
    <col min="7940" max="7940" width="14.28515625" style="42" customWidth="1"/>
    <col min="7941" max="7941" width="11.28515625" style="42" customWidth="1"/>
    <col min="7942" max="7942" width="12.7109375" style="42" customWidth="1"/>
    <col min="7943" max="7943" width="13" style="42" customWidth="1"/>
    <col min="7944" max="7944" width="12.7109375" style="42" customWidth="1"/>
    <col min="7945" max="7951" width="11.28515625" style="42" customWidth="1"/>
    <col min="7952" max="8192" width="9.140625" style="42"/>
    <col min="8193" max="8193" width="5.85546875" style="42" customWidth="1"/>
    <col min="8194" max="8194" width="30.140625" style="42" customWidth="1"/>
    <col min="8195" max="8195" width="14.7109375" style="42" customWidth="1"/>
    <col min="8196" max="8196" width="14.28515625" style="42" customWidth="1"/>
    <col min="8197" max="8197" width="11.28515625" style="42" customWidth="1"/>
    <col min="8198" max="8198" width="12.7109375" style="42" customWidth="1"/>
    <col min="8199" max="8199" width="13" style="42" customWidth="1"/>
    <col min="8200" max="8200" width="12.7109375" style="42" customWidth="1"/>
    <col min="8201" max="8207" width="11.28515625" style="42" customWidth="1"/>
    <col min="8208" max="8448" width="9.140625" style="42"/>
    <col min="8449" max="8449" width="5.85546875" style="42" customWidth="1"/>
    <col min="8450" max="8450" width="30.140625" style="42" customWidth="1"/>
    <col min="8451" max="8451" width="14.7109375" style="42" customWidth="1"/>
    <col min="8452" max="8452" width="14.28515625" style="42" customWidth="1"/>
    <col min="8453" max="8453" width="11.28515625" style="42" customWidth="1"/>
    <col min="8454" max="8454" width="12.7109375" style="42" customWidth="1"/>
    <col min="8455" max="8455" width="13" style="42" customWidth="1"/>
    <col min="8456" max="8456" width="12.7109375" style="42" customWidth="1"/>
    <col min="8457" max="8463" width="11.28515625" style="42" customWidth="1"/>
    <col min="8464" max="8704" width="9.140625" style="42"/>
    <col min="8705" max="8705" width="5.85546875" style="42" customWidth="1"/>
    <col min="8706" max="8706" width="30.140625" style="42" customWidth="1"/>
    <col min="8707" max="8707" width="14.7109375" style="42" customWidth="1"/>
    <col min="8708" max="8708" width="14.28515625" style="42" customWidth="1"/>
    <col min="8709" max="8709" width="11.28515625" style="42" customWidth="1"/>
    <col min="8710" max="8710" width="12.7109375" style="42" customWidth="1"/>
    <col min="8711" max="8711" width="13" style="42" customWidth="1"/>
    <col min="8712" max="8712" width="12.7109375" style="42" customWidth="1"/>
    <col min="8713" max="8719" width="11.28515625" style="42" customWidth="1"/>
    <col min="8720" max="8960" width="9.140625" style="42"/>
    <col min="8961" max="8961" width="5.85546875" style="42" customWidth="1"/>
    <col min="8962" max="8962" width="30.140625" style="42" customWidth="1"/>
    <col min="8963" max="8963" width="14.7109375" style="42" customWidth="1"/>
    <col min="8964" max="8964" width="14.28515625" style="42" customWidth="1"/>
    <col min="8965" max="8965" width="11.28515625" style="42" customWidth="1"/>
    <col min="8966" max="8966" width="12.7109375" style="42" customWidth="1"/>
    <col min="8967" max="8967" width="13" style="42" customWidth="1"/>
    <col min="8968" max="8968" width="12.7109375" style="42" customWidth="1"/>
    <col min="8969" max="8975" width="11.28515625" style="42" customWidth="1"/>
    <col min="8976" max="9216" width="9.140625" style="42"/>
    <col min="9217" max="9217" width="5.85546875" style="42" customWidth="1"/>
    <col min="9218" max="9218" width="30.140625" style="42" customWidth="1"/>
    <col min="9219" max="9219" width="14.7109375" style="42" customWidth="1"/>
    <col min="9220" max="9220" width="14.28515625" style="42" customWidth="1"/>
    <col min="9221" max="9221" width="11.28515625" style="42" customWidth="1"/>
    <col min="9222" max="9222" width="12.7109375" style="42" customWidth="1"/>
    <col min="9223" max="9223" width="13" style="42" customWidth="1"/>
    <col min="9224" max="9224" width="12.7109375" style="42" customWidth="1"/>
    <col min="9225" max="9231" width="11.28515625" style="42" customWidth="1"/>
    <col min="9232" max="9472" width="9.140625" style="42"/>
    <col min="9473" max="9473" width="5.85546875" style="42" customWidth="1"/>
    <col min="9474" max="9474" width="30.140625" style="42" customWidth="1"/>
    <col min="9475" max="9475" width="14.7109375" style="42" customWidth="1"/>
    <col min="9476" max="9476" width="14.28515625" style="42" customWidth="1"/>
    <col min="9477" max="9477" width="11.28515625" style="42" customWidth="1"/>
    <col min="9478" max="9478" width="12.7109375" style="42" customWidth="1"/>
    <col min="9479" max="9479" width="13" style="42" customWidth="1"/>
    <col min="9480" max="9480" width="12.7109375" style="42" customWidth="1"/>
    <col min="9481" max="9487" width="11.28515625" style="42" customWidth="1"/>
    <col min="9488" max="9728" width="9.140625" style="42"/>
    <col min="9729" max="9729" width="5.85546875" style="42" customWidth="1"/>
    <col min="9730" max="9730" width="30.140625" style="42" customWidth="1"/>
    <col min="9731" max="9731" width="14.7109375" style="42" customWidth="1"/>
    <col min="9732" max="9732" width="14.28515625" style="42" customWidth="1"/>
    <col min="9733" max="9733" width="11.28515625" style="42" customWidth="1"/>
    <col min="9734" max="9734" width="12.7109375" style="42" customWidth="1"/>
    <col min="9735" max="9735" width="13" style="42" customWidth="1"/>
    <col min="9736" max="9736" width="12.7109375" style="42" customWidth="1"/>
    <col min="9737" max="9743" width="11.28515625" style="42" customWidth="1"/>
    <col min="9744" max="9984" width="9.140625" style="42"/>
    <col min="9985" max="9985" width="5.85546875" style="42" customWidth="1"/>
    <col min="9986" max="9986" width="30.140625" style="42" customWidth="1"/>
    <col min="9987" max="9987" width="14.7109375" style="42" customWidth="1"/>
    <col min="9988" max="9988" width="14.28515625" style="42" customWidth="1"/>
    <col min="9989" max="9989" width="11.28515625" style="42" customWidth="1"/>
    <col min="9990" max="9990" width="12.7109375" style="42" customWidth="1"/>
    <col min="9991" max="9991" width="13" style="42" customWidth="1"/>
    <col min="9992" max="9992" width="12.7109375" style="42" customWidth="1"/>
    <col min="9993" max="9999" width="11.28515625" style="42" customWidth="1"/>
    <col min="10000" max="10240" width="9.140625" style="42"/>
    <col min="10241" max="10241" width="5.85546875" style="42" customWidth="1"/>
    <col min="10242" max="10242" width="30.140625" style="42" customWidth="1"/>
    <col min="10243" max="10243" width="14.7109375" style="42" customWidth="1"/>
    <col min="10244" max="10244" width="14.28515625" style="42" customWidth="1"/>
    <col min="10245" max="10245" width="11.28515625" style="42" customWidth="1"/>
    <col min="10246" max="10246" width="12.7109375" style="42" customWidth="1"/>
    <col min="10247" max="10247" width="13" style="42" customWidth="1"/>
    <col min="10248" max="10248" width="12.7109375" style="42" customWidth="1"/>
    <col min="10249" max="10255" width="11.28515625" style="42" customWidth="1"/>
    <col min="10256" max="10496" width="9.140625" style="42"/>
    <col min="10497" max="10497" width="5.85546875" style="42" customWidth="1"/>
    <col min="10498" max="10498" width="30.140625" style="42" customWidth="1"/>
    <col min="10499" max="10499" width="14.7109375" style="42" customWidth="1"/>
    <col min="10500" max="10500" width="14.28515625" style="42" customWidth="1"/>
    <col min="10501" max="10501" width="11.28515625" style="42" customWidth="1"/>
    <col min="10502" max="10502" width="12.7109375" style="42" customWidth="1"/>
    <col min="10503" max="10503" width="13" style="42" customWidth="1"/>
    <col min="10504" max="10504" width="12.7109375" style="42" customWidth="1"/>
    <col min="10505" max="10511" width="11.28515625" style="42" customWidth="1"/>
    <col min="10512" max="10752" width="9.140625" style="42"/>
    <col min="10753" max="10753" width="5.85546875" style="42" customWidth="1"/>
    <col min="10754" max="10754" width="30.140625" style="42" customWidth="1"/>
    <col min="10755" max="10755" width="14.7109375" style="42" customWidth="1"/>
    <col min="10756" max="10756" width="14.28515625" style="42" customWidth="1"/>
    <col min="10757" max="10757" width="11.28515625" style="42" customWidth="1"/>
    <col min="10758" max="10758" width="12.7109375" style="42" customWidth="1"/>
    <col min="10759" max="10759" width="13" style="42" customWidth="1"/>
    <col min="10760" max="10760" width="12.7109375" style="42" customWidth="1"/>
    <col min="10761" max="10767" width="11.28515625" style="42" customWidth="1"/>
    <col min="10768" max="11008" width="9.140625" style="42"/>
    <col min="11009" max="11009" width="5.85546875" style="42" customWidth="1"/>
    <col min="11010" max="11010" width="30.140625" style="42" customWidth="1"/>
    <col min="11011" max="11011" width="14.7109375" style="42" customWidth="1"/>
    <col min="11012" max="11012" width="14.28515625" style="42" customWidth="1"/>
    <col min="11013" max="11013" width="11.28515625" style="42" customWidth="1"/>
    <col min="11014" max="11014" width="12.7109375" style="42" customWidth="1"/>
    <col min="11015" max="11015" width="13" style="42" customWidth="1"/>
    <col min="11016" max="11016" width="12.7109375" style="42" customWidth="1"/>
    <col min="11017" max="11023" width="11.28515625" style="42" customWidth="1"/>
    <col min="11024" max="11264" width="9.140625" style="42"/>
    <col min="11265" max="11265" width="5.85546875" style="42" customWidth="1"/>
    <col min="11266" max="11266" width="30.140625" style="42" customWidth="1"/>
    <col min="11267" max="11267" width="14.7109375" style="42" customWidth="1"/>
    <col min="11268" max="11268" width="14.28515625" style="42" customWidth="1"/>
    <col min="11269" max="11269" width="11.28515625" style="42" customWidth="1"/>
    <col min="11270" max="11270" width="12.7109375" style="42" customWidth="1"/>
    <col min="11271" max="11271" width="13" style="42" customWidth="1"/>
    <col min="11272" max="11272" width="12.7109375" style="42" customWidth="1"/>
    <col min="11273" max="11279" width="11.28515625" style="42" customWidth="1"/>
    <col min="11280" max="11520" width="9.140625" style="42"/>
    <col min="11521" max="11521" width="5.85546875" style="42" customWidth="1"/>
    <col min="11522" max="11522" width="30.140625" style="42" customWidth="1"/>
    <col min="11523" max="11523" width="14.7109375" style="42" customWidth="1"/>
    <col min="11524" max="11524" width="14.28515625" style="42" customWidth="1"/>
    <col min="11525" max="11525" width="11.28515625" style="42" customWidth="1"/>
    <col min="11526" max="11526" width="12.7109375" style="42" customWidth="1"/>
    <col min="11527" max="11527" width="13" style="42" customWidth="1"/>
    <col min="11528" max="11528" width="12.7109375" style="42" customWidth="1"/>
    <col min="11529" max="11535" width="11.28515625" style="42" customWidth="1"/>
    <col min="11536" max="11776" width="9.140625" style="42"/>
    <col min="11777" max="11777" width="5.85546875" style="42" customWidth="1"/>
    <col min="11778" max="11778" width="30.140625" style="42" customWidth="1"/>
    <col min="11779" max="11779" width="14.7109375" style="42" customWidth="1"/>
    <col min="11780" max="11780" width="14.28515625" style="42" customWidth="1"/>
    <col min="11781" max="11781" width="11.28515625" style="42" customWidth="1"/>
    <col min="11782" max="11782" width="12.7109375" style="42" customWidth="1"/>
    <col min="11783" max="11783" width="13" style="42" customWidth="1"/>
    <col min="11784" max="11784" width="12.7109375" style="42" customWidth="1"/>
    <col min="11785" max="11791" width="11.28515625" style="42" customWidth="1"/>
    <col min="11792" max="12032" width="9.140625" style="42"/>
    <col min="12033" max="12033" width="5.85546875" style="42" customWidth="1"/>
    <col min="12034" max="12034" width="30.140625" style="42" customWidth="1"/>
    <col min="12035" max="12035" width="14.7109375" style="42" customWidth="1"/>
    <col min="12036" max="12036" width="14.28515625" style="42" customWidth="1"/>
    <col min="12037" max="12037" width="11.28515625" style="42" customWidth="1"/>
    <col min="12038" max="12038" width="12.7109375" style="42" customWidth="1"/>
    <col min="12039" max="12039" width="13" style="42" customWidth="1"/>
    <col min="12040" max="12040" width="12.7109375" style="42" customWidth="1"/>
    <col min="12041" max="12047" width="11.28515625" style="42" customWidth="1"/>
    <col min="12048" max="12288" width="9.140625" style="42"/>
    <col min="12289" max="12289" width="5.85546875" style="42" customWidth="1"/>
    <col min="12290" max="12290" width="30.140625" style="42" customWidth="1"/>
    <col min="12291" max="12291" width="14.7109375" style="42" customWidth="1"/>
    <col min="12292" max="12292" width="14.28515625" style="42" customWidth="1"/>
    <col min="12293" max="12293" width="11.28515625" style="42" customWidth="1"/>
    <col min="12294" max="12294" width="12.7109375" style="42" customWidth="1"/>
    <col min="12295" max="12295" width="13" style="42" customWidth="1"/>
    <col min="12296" max="12296" width="12.7109375" style="42" customWidth="1"/>
    <col min="12297" max="12303" width="11.28515625" style="42" customWidth="1"/>
    <col min="12304" max="12544" width="9.140625" style="42"/>
    <col min="12545" max="12545" width="5.85546875" style="42" customWidth="1"/>
    <col min="12546" max="12546" width="30.140625" style="42" customWidth="1"/>
    <col min="12547" max="12547" width="14.7109375" style="42" customWidth="1"/>
    <col min="12548" max="12548" width="14.28515625" style="42" customWidth="1"/>
    <col min="12549" max="12549" width="11.28515625" style="42" customWidth="1"/>
    <col min="12550" max="12550" width="12.7109375" style="42" customWidth="1"/>
    <col min="12551" max="12551" width="13" style="42" customWidth="1"/>
    <col min="12552" max="12552" width="12.7109375" style="42" customWidth="1"/>
    <col min="12553" max="12559" width="11.28515625" style="42" customWidth="1"/>
    <col min="12560" max="12800" width="9.140625" style="42"/>
    <col min="12801" max="12801" width="5.85546875" style="42" customWidth="1"/>
    <col min="12802" max="12802" width="30.140625" style="42" customWidth="1"/>
    <col min="12803" max="12803" width="14.7109375" style="42" customWidth="1"/>
    <col min="12804" max="12804" width="14.28515625" style="42" customWidth="1"/>
    <col min="12805" max="12805" width="11.28515625" style="42" customWidth="1"/>
    <col min="12806" max="12806" width="12.7109375" style="42" customWidth="1"/>
    <col min="12807" max="12807" width="13" style="42" customWidth="1"/>
    <col min="12808" max="12808" width="12.7109375" style="42" customWidth="1"/>
    <col min="12809" max="12815" width="11.28515625" style="42" customWidth="1"/>
    <col min="12816" max="13056" width="9.140625" style="42"/>
    <col min="13057" max="13057" width="5.85546875" style="42" customWidth="1"/>
    <col min="13058" max="13058" width="30.140625" style="42" customWidth="1"/>
    <col min="13059" max="13059" width="14.7109375" style="42" customWidth="1"/>
    <col min="13060" max="13060" width="14.28515625" style="42" customWidth="1"/>
    <col min="13061" max="13061" width="11.28515625" style="42" customWidth="1"/>
    <col min="13062" max="13062" width="12.7109375" style="42" customWidth="1"/>
    <col min="13063" max="13063" width="13" style="42" customWidth="1"/>
    <col min="13064" max="13064" width="12.7109375" style="42" customWidth="1"/>
    <col min="13065" max="13071" width="11.28515625" style="42" customWidth="1"/>
    <col min="13072" max="13312" width="9.140625" style="42"/>
    <col min="13313" max="13313" width="5.85546875" style="42" customWidth="1"/>
    <col min="13314" max="13314" width="30.140625" style="42" customWidth="1"/>
    <col min="13315" max="13315" width="14.7109375" style="42" customWidth="1"/>
    <col min="13316" max="13316" width="14.28515625" style="42" customWidth="1"/>
    <col min="13317" max="13317" width="11.28515625" style="42" customWidth="1"/>
    <col min="13318" max="13318" width="12.7109375" style="42" customWidth="1"/>
    <col min="13319" max="13319" width="13" style="42" customWidth="1"/>
    <col min="13320" max="13320" width="12.7109375" style="42" customWidth="1"/>
    <col min="13321" max="13327" width="11.28515625" style="42" customWidth="1"/>
    <col min="13328" max="13568" width="9.140625" style="42"/>
    <col min="13569" max="13569" width="5.85546875" style="42" customWidth="1"/>
    <col min="13570" max="13570" width="30.140625" style="42" customWidth="1"/>
    <col min="13571" max="13571" width="14.7109375" style="42" customWidth="1"/>
    <col min="13572" max="13572" width="14.28515625" style="42" customWidth="1"/>
    <col min="13573" max="13573" width="11.28515625" style="42" customWidth="1"/>
    <col min="13574" max="13574" width="12.7109375" style="42" customWidth="1"/>
    <col min="13575" max="13575" width="13" style="42" customWidth="1"/>
    <col min="13576" max="13576" width="12.7109375" style="42" customWidth="1"/>
    <col min="13577" max="13583" width="11.28515625" style="42" customWidth="1"/>
    <col min="13584" max="13824" width="9.140625" style="42"/>
    <col min="13825" max="13825" width="5.85546875" style="42" customWidth="1"/>
    <col min="13826" max="13826" width="30.140625" style="42" customWidth="1"/>
    <col min="13827" max="13827" width="14.7109375" style="42" customWidth="1"/>
    <col min="13828" max="13828" width="14.28515625" style="42" customWidth="1"/>
    <col min="13829" max="13829" width="11.28515625" style="42" customWidth="1"/>
    <col min="13830" max="13830" width="12.7109375" style="42" customWidth="1"/>
    <col min="13831" max="13831" width="13" style="42" customWidth="1"/>
    <col min="13832" max="13832" width="12.7109375" style="42" customWidth="1"/>
    <col min="13833" max="13839" width="11.28515625" style="42" customWidth="1"/>
    <col min="13840" max="14080" width="9.140625" style="42"/>
    <col min="14081" max="14081" width="5.85546875" style="42" customWidth="1"/>
    <col min="14082" max="14082" width="30.140625" style="42" customWidth="1"/>
    <col min="14083" max="14083" width="14.7109375" style="42" customWidth="1"/>
    <col min="14084" max="14084" width="14.28515625" style="42" customWidth="1"/>
    <col min="14085" max="14085" width="11.28515625" style="42" customWidth="1"/>
    <col min="14086" max="14086" width="12.7109375" style="42" customWidth="1"/>
    <col min="14087" max="14087" width="13" style="42" customWidth="1"/>
    <col min="14088" max="14088" width="12.7109375" style="42" customWidth="1"/>
    <col min="14089" max="14095" width="11.28515625" style="42" customWidth="1"/>
    <col min="14096" max="14336" width="9.140625" style="42"/>
    <col min="14337" max="14337" width="5.85546875" style="42" customWidth="1"/>
    <col min="14338" max="14338" width="30.140625" style="42" customWidth="1"/>
    <col min="14339" max="14339" width="14.7109375" style="42" customWidth="1"/>
    <col min="14340" max="14340" width="14.28515625" style="42" customWidth="1"/>
    <col min="14341" max="14341" width="11.28515625" style="42" customWidth="1"/>
    <col min="14342" max="14342" width="12.7109375" style="42" customWidth="1"/>
    <col min="14343" max="14343" width="13" style="42" customWidth="1"/>
    <col min="14344" max="14344" width="12.7109375" style="42" customWidth="1"/>
    <col min="14345" max="14351" width="11.28515625" style="42" customWidth="1"/>
    <col min="14352" max="14592" width="9.140625" style="42"/>
    <col min="14593" max="14593" width="5.85546875" style="42" customWidth="1"/>
    <col min="14594" max="14594" width="30.140625" style="42" customWidth="1"/>
    <col min="14595" max="14595" width="14.7109375" style="42" customWidth="1"/>
    <col min="14596" max="14596" width="14.28515625" style="42" customWidth="1"/>
    <col min="14597" max="14597" width="11.28515625" style="42" customWidth="1"/>
    <col min="14598" max="14598" width="12.7109375" style="42" customWidth="1"/>
    <col min="14599" max="14599" width="13" style="42" customWidth="1"/>
    <col min="14600" max="14600" width="12.7109375" style="42" customWidth="1"/>
    <col min="14601" max="14607" width="11.28515625" style="42" customWidth="1"/>
    <col min="14608" max="14848" width="9.140625" style="42"/>
    <col min="14849" max="14849" width="5.85546875" style="42" customWidth="1"/>
    <col min="14850" max="14850" width="30.140625" style="42" customWidth="1"/>
    <col min="14851" max="14851" width="14.7109375" style="42" customWidth="1"/>
    <col min="14852" max="14852" width="14.28515625" style="42" customWidth="1"/>
    <col min="14853" max="14853" width="11.28515625" style="42" customWidth="1"/>
    <col min="14854" max="14854" width="12.7109375" style="42" customWidth="1"/>
    <col min="14855" max="14855" width="13" style="42" customWidth="1"/>
    <col min="14856" max="14856" width="12.7109375" style="42" customWidth="1"/>
    <col min="14857" max="14863" width="11.28515625" style="42" customWidth="1"/>
    <col min="14864" max="15104" width="9.140625" style="42"/>
    <col min="15105" max="15105" width="5.85546875" style="42" customWidth="1"/>
    <col min="15106" max="15106" width="30.140625" style="42" customWidth="1"/>
    <col min="15107" max="15107" width="14.7109375" style="42" customWidth="1"/>
    <col min="15108" max="15108" width="14.28515625" style="42" customWidth="1"/>
    <col min="15109" max="15109" width="11.28515625" style="42" customWidth="1"/>
    <col min="15110" max="15110" width="12.7109375" style="42" customWidth="1"/>
    <col min="15111" max="15111" width="13" style="42" customWidth="1"/>
    <col min="15112" max="15112" width="12.7109375" style="42" customWidth="1"/>
    <col min="15113" max="15119" width="11.28515625" style="42" customWidth="1"/>
    <col min="15120" max="15360" width="9.140625" style="42"/>
    <col min="15361" max="15361" width="5.85546875" style="42" customWidth="1"/>
    <col min="15362" max="15362" width="30.140625" style="42" customWidth="1"/>
    <col min="15363" max="15363" width="14.7109375" style="42" customWidth="1"/>
    <col min="15364" max="15364" width="14.28515625" style="42" customWidth="1"/>
    <col min="15365" max="15365" width="11.28515625" style="42" customWidth="1"/>
    <col min="15366" max="15366" width="12.7109375" style="42" customWidth="1"/>
    <col min="15367" max="15367" width="13" style="42" customWidth="1"/>
    <col min="15368" max="15368" width="12.7109375" style="42" customWidth="1"/>
    <col min="15369" max="15375" width="11.28515625" style="42" customWidth="1"/>
    <col min="15376" max="15616" width="9.140625" style="42"/>
    <col min="15617" max="15617" width="5.85546875" style="42" customWidth="1"/>
    <col min="15618" max="15618" width="30.140625" style="42" customWidth="1"/>
    <col min="15619" max="15619" width="14.7109375" style="42" customWidth="1"/>
    <col min="15620" max="15620" width="14.28515625" style="42" customWidth="1"/>
    <col min="15621" max="15621" width="11.28515625" style="42" customWidth="1"/>
    <col min="15622" max="15622" width="12.7109375" style="42" customWidth="1"/>
    <col min="15623" max="15623" width="13" style="42" customWidth="1"/>
    <col min="15624" max="15624" width="12.7109375" style="42" customWidth="1"/>
    <col min="15625" max="15631" width="11.28515625" style="42" customWidth="1"/>
    <col min="15632" max="15872" width="9.140625" style="42"/>
    <col min="15873" max="15873" width="5.85546875" style="42" customWidth="1"/>
    <col min="15874" max="15874" width="30.140625" style="42" customWidth="1"/>
    <col min="15875" max="15875" width="14.7109375" style="42" customWidth="1"/>
    <col min="15876" max="15876" width="14.28515625" style="42" customWidth="1"/>
    <col min="15877" max="15877" width="11.28515625" style="42" customWidth="1"/>
    <col min="15878" max="15878" width="12.7109375" style="42" customWidth="1"/>
    <col min="15879" max="15879" width="13" style="42" customWidth="1"/>
    <col min="15880" max="15880" width="12.7109375" style="42" customWidth="1"/>
    <col min="15881" max="15887" width="11.28515625" style="42" customWidth="1"/>
    <col min="15888" max="16128" width="9.140625" style="42"/>
    <col min="16129" max="16129" width="5.85546875" style="42" customWidth="1"/>
    <col min="16130" max="16130" width="30.140625" style="42" customWidth="1"/>
    <col min="16131" max="16131" width="14.7109375" style="42" customWidth="1"/>
    <col min="16132" max="16132" width="14.28515625" style="42" customWidth="1"/>
    <col min="16133" max="16133" width="11.28515625" style="42" customWidth="1"/>
    <col min="16134" max="16134" width="12.7109375" style="42" customWidth="1"/>
    <col min="16135" max="16135" width="13" style="42" customWidth="1"/>
    <col min="16136" max="16136" width="12.7109375" style="42" customWidth="1"/>
    <col min="16137" max="16143" width="11.28515625" style="42" customWidth="1"/>
    <col min="16144" max="16384" width="9.140625" style="42"/>
  </cols>
  <sheetData>
    <row r="1" spans="1:15" ht="21" customHeight="1">
      <c r="A1" s="40"/>
      <c r="B1" s="40"/>
      <c r="C1" s="69"/>
      <c r="D1" s="69"/>
      <c r="E1" s="69"/>
      <c r="F1" s="69"/>
      <c r="G1" s="69"/>
      <c r="H1" s="69"/>
      <c r="I1" s="69"/>
      <c r="J1" s="69"/>
      <c r="K1" s="69"/>
      <c r="L1" s="1071" t="s">
        <v>623</v>
      </c>
      <c r="M1" s="1071"/>
      <c r="N1" s="1071"/>
      <c r="O1" s="1071"/>
    </row>
    <row r="2" spans="1:15" ht="21" customHeight="1">
      <c r="A2" s="1022" t="s">
        <v>622</v>
      </c>
      <c r="B2" s="1022"/>
      <c r="C2" s="1022"/>
      <c r="D2" s="1022"/>
      <c r="E2" s="1022"/>
      <c r="F2" s="1022"/>
      <c r="G2" s="1022"/>
      <c r="H2" s="1022"/>
      <c r="I2" s="1022"/>
      <c r="J2" s="1022"/>
      <c r="K2" s="1022"/>
      <c r="L2" s="1022"/>
      <c r="M2" s="1022"/>
      <c r="N2" s="1022"/>
      <c r="O2" s="1022"/>
    </row>
    <row r="3" spans="1:15" ht="21" customHeight="1">
      <c r="A3" s="1072" t="s">
        <v>621</v>
      </c>
      <c r="B3" s="1072"/>
      <c r="C3" s="1072"/>
      <c r="D3" s="1072"/>
      <c r="E3" s="1072"/>
      <c r="F3" s="1072"/>
      <c r="G3" s="1072"/>
      <c r="H3" s="1072"/>
      <c r="I3" s="1072"/>
      <c r="J3" s="1072"/>
      <c r="K3" s="1072"/>
      <c r="L3" s="1072"/>
      <c r="M3" s="1072"/>
      <c r="N3" s="1072"/>
      <c r="O3" s="1072"/>
    </row>
    <row r="4" spans="1:15" ht="19.5" customHeight="1">
      <c r="A4" s="43"/>
      <c r="B4" s="606"/>
      <c r="C4" s="51"/>
      <c r="D4" s="51"/>
      <c r="E4" s="51"/>
      <c r="F4" s="51"/>
      <c r="G4" s="51"/>
      <c r="H4" s="51"/>
      <c r="I4" s="51"/>
      <c r="J4" s="51"/>
      <c r="K4" s="51"/>
      <c r="L4" s="51"/>
      <c r="M4" s="58"/>
      <c r="N4" s="58"/>
      <c r="O4" s="44" t="s">
        <v>2</v>
      </c>
    </row>
    <row r="5" spans="1:15" s="45" customFormat="1" ht="23.25" customHeight="1">
      <c r="A5" s="1069" t="s">
        <v>3</v>
      </c>
      <c r="B5" s="1069" t="s">
        <v>620</v>
      </c>
      <c r="C5" s="1069" t="s">
        <v>5</v>
      </c>
      <c r="D5" s="1069"/>
      <c r="E5" s="1069"/>
      <c r="F5" s="1069"/>
      <c r="G5" s="1066" t="s">
        <v>6</v>
      </c>
      <c r="H5" s="1067"/>
      <c r="I5" s="1067"/>
      <c r="J5" s="1067"/>
      <c r="K5" s="1068"/>
      <c r="L5" s="1069" t="s">
        <v>461</v>
      </c>
      <c r="M5" s="1069"/>
      <c r="N5" s="1069"/>
      <c r="O5" s="1069"/>
    </row>
    <row r="6" spans="1:15" s="45" customFormat="1" ht="23.25" customHeight="1">
      <c r="A6" s="1069"/>
      <c r="B6" s="1069"/>
      <c r="C6" s="1069" t="s">
        <v>89</v>
      </c>
      <c r="D6" s="1069" t="s">
        <v>345</v>
      </c>
      <c r="E6" s="1069"/>
      <c r="F6" s="1069"/>
      <c r="G6" s="1069" t="s">
        <v>89</v>
      </c>
      <c r="H6" s="1066" t="s">
        <v>345</v>
      </c>
      <c r="I6" s="1067"/>
      <c r="J6" s="1067"/>
      <c r="K6" s="1068"/>
      <c r="L6" s="1069" t="s">
        <v>89</v>
      </c>
      <c r="M6" s="1069" t="s">
        <v>345</v>
      </c>
      <c r="N6" s="1069"/>
      <c r="O6" s="1069"/>
    </row>
    <row r="7" spans="1:15" s="45" customFormat="1" ht="23.25" customHeight="1">
      <c r="A7" s="1069"/>
      <c r="B7" s="1069"/>
      <c r="C7" s="1069"/>
      <c r="D7" s="1070" t="s">
        <v>467</v>
      </c>
      <c r="E7" s="1070" t="s">
        <v>595</v>
      </c>
      <c r="F7" s="1070" t="s">
        <v>619</v>
      </c>
      <c r="G7" s="1069"/>
      <c r="H7" s="1070" t="s">
        <v>467</v>
      </c>
      <c r="I7" s="1070" t="s">
        <v>595</v>
      </c>
      <c r="J7" s="1070" t="s">
        <v>619</v>
      </c>
      <c r="K7" s="1063" t="s">
        <v>515</v>
      </c>
      <c r="L7" s="1069"/>
      <c r="M7" s="1070" t="s">
        <v>467</v>
      </c>
      <c r="N7" s="1070" t="s">
        <v>595</v>
      </c>
      <c r="O7" s="1070" t="s">
        <v>619</v>
      </c>
    </row>
    <row r="8" spans="1:15" s="45" customFormat="1" ht="17.25" customHeight="1">
      <c r="A8" s="1069"/>
      <c r="B8" s="1069"/>
      <c r="C8" s="1069"/>
      <c r="D8" s="1070"/>
      <c r="E8" s="1070"/>
      <c r="F8" s="1070"/>
      <c r="G8" s="1069"/>
      <c r="H8" s="1070"/>
      <c r="I8" s="1070"/>
      <c r="J8" s="1070"/>
      <c r="K8" s="1064"/>
      <c r="L8" s="1069"/>
      <c r="M8" s="1070"/>
      <c r="N8" s="1070"/>
      <c r="O8" s="1070"/>
    </row>
    <row r="9" spans="1:15" s="45" customFormat="1" ht="9" customHeight="1">
      <c r="A9" s="1069"/>
      <c r="B9" s="1069"/>
      <c r="C9" s="1069"/>
      <c r="D9" s="1070"/>
      <c r="E9" s="1070"/>
      <c r="F9" s="1070"/>
      <c r="G9" s="1069"/>
      <c r="H9" s="1070"/>
      <c r="I9" s="1070"/>
      <c r="J9" s="1070"/>
      <c r="K9" s="1064"/>
      <c r="L9" s="1069"/>
      <c r="M9" s="1070"/>
      <c r="N9" s="1070"/>
      <c r="O9" s="1070"/>
    </row>
    <row r="10" spans="1:15" s="45" customFormat="1" ht="2.25" customHeight="1">
      <c r="A10" s="1069"/>
      <c r="B10" s="1069"/>
      <c r="C10" s="1069"/>
      <c r="D10" s="1070"/>
      <c r="E10" s="1070"/>
      <c r="F10" s="1070"/>
      <c r="G10" s="1069"/>
      <c r="H10" s="1070"/>
      <c r="I10" s="1070"/>
      <c r="J10" s="1070"/>
      <c r="K10" s="1064"/>
      <c r="L10" s="1069"/>
      <c r="M10" s="1070"/>
      <c r="N10" s="1070"/>
      <c r="O10" s="1070"/>
    </row>
    <row r="11" spans="1:15" s="45" customFormat="1" ht="23.25" customHeight="1">
      <c r="A11" s="1069"/>
      <c r="B11" s="1069"/>
      <c r="C11" s="1069"/>
      <c r="D11" s="1070"/>
      <c r="E11" s="1070"/>
      <c r="F11" s="1070"/>
      <c r="G11" s="1069"/>
      <c r="H11" s="1070"/>
      <c r="I11" s="1070"/>
      <c r="J11" s="1070"/>
      <c r="K11" s="1065"/>
      <c r="L11" s="1069"/>
      <c r="M11" s="1070"/>
      <c r="N11" s="1070"/>
      <c r="O11" s="1070"/>
    </row>
    <row r="12" spans="1:15" s="47" customFormat="1" ht="17.25" customHeight="1">
      <c r="A12" s="46" t="s">
        <v>10</v>
      </c>
      <c r="B12" s="46" t="s">
        <v>11</v>
      </c>
      <c r="C12" s="46">
        <v>1</v>
      </c>
      <c r="D12" s="46">
        <f t="shared" ref="D12:J12" si="0">C12+1</f>
        <v>2</v>
      </c>
      <c r="E12" s="46">
        <f t="shared" si="0"/>
        <v>3</v>
      </c>
      <c r="F12" s="46">
        <f t="shared" si="0"/>
        <v>4</v>
      </c>
      <c r="G12" s="46">
        <f t="shared" si="0"/>
        <v>5</v>
      </c>
      <c r="H12" s="46">
        <f t="shared" si="0"/>
        <v>6</v>
      </c>
      <c r="I12" s="46">
        <f t="shared" si="0"/>
        <v>7</v>
      </c>
      <c r="J12" s="46">
        <f t="shared" si="0"/>
        <v>8</v>
      </c>
      <c r="K12" s="46">
        <v>9</v>
      </c>
      <c r="L12" s="243" t="s">
        <v>618</v>
      </c>
      <c r="M12" s="243" t="s">
        <v>617</v>
      </c>
      <c r="N12" s="243" t="s">
        <v>616</v>
      </c>
      <c r="O12" s="243" t="s">
        <v>615</v>
      </c>
    </row>
    <row r="13" spans="1:15" s="71" customFormat="1" ht="31.5" customHeight="1">
      <c r="A13" s="48"/>
      <c r="B13" s="48" t="s">
        <v>614</v>
      </c>
      <c r="C13" s="607">
        <f>SUM(C14:C23)</f>
        <v>4600000</v>
      </c>
      <c r="D13" s="607">
        <f t="shared" ref="D13:K13" si="1">SUM(D14:D23)</f>
        <v>4305000</v>
      </c>
      <c r="E13" s="607">
        <f t="shared" si="1"/>
        <v>0</v>
      </c>
      <c r="F13" s="607">
        <f t="shared" si="1"/>
        <v>295000</v>
      </c>
      <c r="G13" s="244">
        <f t="shared" si="1"/>
        <v>4425000</v>
      </c>
      <c r="H13" s="244">
        <f t="shared" si="1"/>
        <v>4109000</v>
      </c>
      <c r="I13" s="244">
        <f t="shared" si="1"/>
        <v>0</v>
      </c>
      <c r="J13" s="244">
        <f t="shared" si="1"/>
        <v>316000</v>
      </c>
      <c r="K13" s="244">
        <f t="shared" si="1"/>
        <v>0</v>
      </c>
      <c r="L13" s="608">
        <f>G13/C13</f>
        <v>0.96195652173913049</v>
      </c>
      <c r="M13" s="608">
        <f>H13/D13</f>
        <v>0.95447154471544715</v>
      </c>
      <c r="N13" s="608"/>
      <c r="O13" s="608">
        <f>J13/F13</f>
        <v>1.0711864406779661</v>
      </c>
    </row>
    <row r="14" spans="1:15" s="51" customFormat="1" ht="31.5" customHeight="1">
      <c r="A14" s="55">
        <v>1</v>
      </c>
      <c r="B14" s="56" t="s">
        <v>613</v>
      </c>
      <c r="C14" s="427">
        <f>D14+E14+F14</f>
        <v>2991580</v>
      </c>
      <c r="D14" s="427">
        <v>2991580</v>
      </c>
      <c r="E14" s="427"/>
      <c r="F14" s="427"/>
      <c r="G14" s="245">
        <f>H14+I14+J14+K14</f>
        <v>2678170</v>
      </c>
      <c r="H14" s="245">
        <v>2678170</v>
      </c>
      <c r="I14" s="245"/>
      <c r="J14" s="245"/>
      <c r="K14" s="245"/>
      <c r="L14" s="609">
        <f t="shared" ref="L14:M23" si="2">G14/C14</f>
        <v>0.89523596226743063</v>
      </c>
      <c r="M14" s="609">
        <f t="shared" si="2"/>
        <v>0.89523596226743063</v>
      </c>
      <c r="N14" s="609"/>
      <c r="O14" s="609"/>
    </row>
    <row r="15" spans="1:15" s="51" customFormat="1" ht="31.5" customHeight="1">
      <c r="A15" s="55">
        <f>A14+1</f>
        <v>2</v>
      </c>
      <c r="B15" s="56" t="s">
        <v>612</v>
      </c>
      <c r="C15" s="427">
        <f t="shared" ref="C15:C23" si="3">D15+E15+F15</f>
        <v>133660</v>
      </c>
      <c r="D15" s="427">
        <v>133660</v>
      </c>
      <c r="E15" s="427"/>
      <c r="F15" s="427"/>
      <c r="G15" s="245">
        <f>H15+I15+J15+K15</f>
        <v>126620</v>
      </c>
      <c r="H15" s="245">
        <v>126620</v>
      </c>
      <c r="I15" s="245"/>
      <c r="J15" s="245"/>
      <c r="K15" s="245">
        <f>'PL21'!AF18</f>
        <v>0</v>
      </c>
      <c r="L15" s="609">
        <f t="shared" si="2"/>
        <v>0.94732904384258565</v>
      </c>
      <c r="M15" s="609">
        <f t="shared" si="2"/>
        <v>0.94732904384258565</v>
      </c>
      <c r="N15" s="609"/>
      <c r="O15" s="609"/>
    </row>
    <row r="16" spans="1:15" s="51" customFormat="1" ht="31.5" customHeight="1">
      <c r="A16" s="55">
        <f t="shared" ref="A16:A23" si="4">A15+1</f>
        <v>3</v>
      </c>
      <c r="B16" s="56" t="s">
        <v>611</v>
      </c>
      <c r="C16" s="427">
        <f t="shared" si="3"/>
        <v>126600</v>
      </c>
      <c r="D16" s="427">
        <v>126600</v>
      </c>
      <c r="E16" s="427"/>
      <c r="F16" s="427"/>
      <c r="G16" s="245">
        <f t="shared" ref="G16:G23" si="5">H16+I16+J16+K16</f>
        <v>141960</v>
      </c>
      <c r="H16" s="245">
        <v>141960</v>
      </c>
      <c r="I16" s="245"/>
      <c r="J16" s="245"/>
      <c r="K16" s="245"/>
      <c r="L16" s="609">
        <f t="shared" si="2"/>
        <v>1.1213270142180094</v>
      </c>
      <c r="M16" s="609">
        <f t="shared" si="2"/>
        <v>1.1213270142180094</v>
      </c>
      <c r="N16" s="609"/>
      <c r="O16" s="609"/>
    </row>
    <row r="17" spans="1:15" s="51" customFormat="1" ht="31.5" customHeight="1">
      <c r="A17" s="55">
        <f t="shared" si="4"/>
        <v>4</v>
      </c>
      <c r="B17" s="56" t="s">
        <v>610</v>
      </c>
      <c r="C17" s="427">
        <f t="shared" si="3"/>
        <v>430500</v>
      </c>
      <c r="D17" s="427">
        <v>135500</v>
      </c>
      <c r="E17" s="427"/>
      <c r="F17" s="427">
        <v>295000</v>
      </c>
      <c r="G17" s="245">
        <f t="shared" si="5"/>
        <v>499948</v>
      </c>
      <c r="H17" s="245">
        <v>183948</v>
      </c>
      <c r="I17" s="245"/>
      <c r="J17" s="245">
        <v>316000</v>
      </c>
      <c r="K17" s="245"/>
      <c r="L17" s="609">
        <f t="shared" si="2"/>
        <v>1.1613193960511035</v>
      </c>
      <c r="M17" s="609">
        <f t="shared" si="2"/>
        <v>1.3575498154981549</v>
      </c>
      <c r="N17" s="609"/>
      <c r="O17" s="609">
        <f>J17/F17</f>
        <v>1.0711864406779661</v>
      </c>
    </row>
    <row r="18" spans="1:15" s="51" customFormat="1" ht="31.5" customHeight="1">
      <c r="A18" s="55">
        <f t="shared" si="4"/>
        <v>5</v>
      </c>
      <c r="B18" s="56" t="s">
        <v>609</v>
      </c>
      <c r="C18" s="427">
        <f t="shared" si="3"/>
        <v>30500</v>
      </c>
      <c r="D18" s="427">
        <v>30500</v>
      </c>
      <c r="E18" s="427"/>
      <c r="F18" s="427"/>
      <c r="G18" s="245">
        <f t="shared" si="5"/>
        <v>43690</v>
      </c>
      <c r="H18" s="245">
        <v>43690</v>
      </c>
      <c r="I18" s="245"/>
      <c r="J18" s="245"/>
      <c r="K18" s="245"/>
      <c r="L18" s="609">
        <f t="shared" si="2"/>
        <v>1.4324590163934425</v>
      </c>
      <c r="M18" s="609">
        <f t="shared" si="2"/>
        <v>1.4324590163934425</v>
      </c>
      <c r="N18" s="609"/>
      <c r="O18" s="609"/>
    </row>
    <row r="19" spans="1:15" s="51" customFormat="1" ht="31.5" customHeight="1">
      <c r="A19" s="55">
        <f t="shared" si="4"/>
        <v>6</v>
      </c>
      <c r="B19" s="56" t="s">
        <v>608</v>
      </c>
      <c r="C19" s="427">
        <f t="shared" si="3"/>
        <v>114660</v>
      </c>
      <c r="D19" s="427">
        <v>114660</v>
      </c>
      <c r="E19" s="427"/>
      <c r="F19" s="427"/>
      <c r="G19" s="245">
        <f t="shared" si="5"/>
        <v>151027</v>
      </c>
      <c r="H19" s="245">
        <v>151027</v>
      </c>
      <c r="I19" s="245"/>
      <c r="J19" s="245"/>
      <c r="K19" s="245"/>
      <c r="L19" s="609">
        <f t="shared" si="2"/>
        <v>1.317172510029653</v>
      </c>
      <c r="M19" s="609">
        <f t="shared" si="2"/>
        <v>1.317172510029653</v>
      </c>
      <c r="N19" s="609"/>
      <c r="O19" s="609"/>
    </row>
    <row r="20" spans="1:15" s="51" customFormat="1" ht="31.5" customHeight="1">
      <c r="A20" s="55">
        <f t="shared" si="4"/>
        <v>7</v>
      </c>
      <c r="B20" s="56" t="s">
        <v>607</v>
      </c>
      <c r="C20" s="427">
        <f t="shared" si="3"/>
        <v>89700</v>
      </c>
      <c r="D20" s="427">
        <v>89700</v>
      </c>
      <c r="E20" s="427"/>
      <c r="F20" s="427"/>
      <c r="G20" s="245">
        <f t="shared" si="5"/>
        <v>96910</v>
      </c>
      <c r="H20" s="245">
        <v>96910</v>
      </c>
      <c r="I20" s="245"/>
      <c r="J20" s="245"/>
      <c r="K20" s="245"/>
      <c r="L20" s="609">
        <f t="shared" si="2"/>
        <v>1.0803790412486065</v>
      </c>
      <c r="M20" s="609">
        <f t="shared" si="2"/>
        <v>1.0803790412486065</v>
      </c>
      <c r="N20" s="609"/>
      <c r="O20" s="609"/>
    </row>
    <row r="21" spans="1:15" s="51" customFormat="1" ht="31.5" customHeight="1">
      <c r="A21" s="55">
        <f t="shared" si="4"/>
        <v>8</v>
      </c>
      <c r="B21" s="56" t="s">
        <v>606</v>
      </c>
      <c r="C21" s="427">
        <f t="shared" si="3"/>
        <v>83900</v>
      </c>
      <c r="D21" s="427">
        <v>83900</v>
      </c>
      <c r="E21" s="427"/>
      <c r="F21" s="427"/>
      <c r="G21" s="245">
        <f t="shared" si="5"/>
        <v>103630</v>
      </c>
      <c r="H21" s="245">
        <v>103630</v>
      </c>
      <c r="I21" s="245"/>
      <c r="J21" s="245"/>
      <c r="K21" s="245"/>
      <c r="L21" s="609">
        <f t="shared" si="2"/>
        <v>1.2351609058402861</v>
      </c>
      <c r="M21" s="609">
        <f t="shared" si="2"/>
        <v>1.2351609058402861</v>
      </c>
      <c r="N21" s="609"/>
      <c r="O21" s="609"/>
    </row>
    <row r="22" spans="1:15" s="51" customFormat="1" ht="31.5" customHeight="1">
      <c r="A22" s="55">
        <f t="shared" si="4"/>
        <v>9</v>
      </c>
      <c r="B22" s="56" t="s">
        <v>605</v>
      </c>
      <c r="C22" s="427">
        <f t="shared" si="3"/>
        <v>538100</v>
      </c>
      <c r="D22" s="427">
        <v>538100</v>
      </c>
      <c r="E22" s="427"/>
      <c r="F22" s="427"/>
      <c r="G22" s="245">
        <f t="shared" si="5"/>
        <v>518895</v>
      </c>
      <c r="H22" s="245">
        <v>518895</v>
      </c>
      <c r="I22" s="245"/>
      <c r="J22" s="245"/>
      <c r="K22" s="245"/>
      <c r="L22" s="609">
        <f t="shared" si="2"/>
        <v>0.96430960787957631</v>
      </c>
      <c r="M22" s="609">
        <f t="shared" si="2"/>
        <v>0.96430960787957631</v>
      </c>
      <c r="N22" s="609"/>
      <c r="O22" s="609"/>
    </row>
    <row r="23" spans="1:15" s="51" customFormat="1" ht="31.5" customHeight="1">
      <c r="A23" s="55">
        <f t="shared" si="4"/>
        <v>10</v>
      </c>
      <c r="B23" s="56" t="s">
        <v>604</v>
      </c>
      <c r="C23" s="427">
        <f t="shared" si="3"/>
        <v>60800</v>
      </c>
      <c r="D23" s="427">
        <v>60800</v>
      </c>
      <c r="E23" s="427"/>
      <c r="F23" s="427"/>
      <c r="G23" s="245">
        <f t="shared" si="5"/>
        <v>64150</v>
      </c>
      <c r="H23" s="245">
        <v>64150</v>
      </c>
      <c r="I23" s="245"/>
      <c r="J23" s="245"/>
      <c r="K23" s="245"/>
      <c r="L23" s="609">
        <f t="shared" si="2"/>
        <v>1.0550986842105263</v>
      </c>
      <c r="M23" s="609">
        <f t="shared" si="2"/>
        <v>1.0550986842105263</v>
      </c>
      <c r="N23" s="609"/>
      <c r="O23" s="609"/>
    </row>
    <row r="24" spans="1:15" ht="15.95" customHeight="1">
      <c r="A24" s="62"/>
      <c r="B24" s="62"/>
      <c r="C24" s="62"/>
      <c r="D24" s="62"/>
      <c r="E24" s="62"/>
      <c r="F24" s="62"/>
      <c r="G24" s="62"/>
      <c r="H24" s="62"/>
      <c r="I24" s="62"/>
      <c r="J24" s="62"/>
      <c r="K24" s="62"/>
      <c r="L24" s="62"/>
      <c r="M24" s="62"/>
      <c r="N24" s="62"/>
      <c r="O24" s="62"/>
    </row>
    <row r="25" spans="1:15" ht="30" customHeight="1">
      <c r="A25" s="64" t="s">
        <v>603</v>
      </c>
      <c r="B25" s="246"/>
      <c r="C25" s="51"/>
      <c r="D25" s="51"/>
      <c r="E25" s="51"/>
      <c r="F25" s="51"/>
      <c r="G25" s="51"/>
      <c r="H25" s="51"/>
      <c r="I25" s="51"/>
      <c r="J25" s="51"/>
      <c r="K25" s="51"/>
      <c r="L25" s="51"/>
      <c r="M25" s="51"/>
      <c r="N25" s="51"/>
      <c r="O25" s="51"/>
    </row>
    <row r="26" spans="1:15" ht="21" customHeight="1">
      <c r="B26" s="247" t="s">
        <v>602</v>
      </c>
      <c r="C26" s="51"/>
      <c r="D26" s="51"/>
      <c r="E26" s="51"/>
      <c r="F26" s="51"/>
      <c r="G26" s="51"/>
      <c r="H26" s="51"/>
      <c r="I26" s="51"/>
      <c r="J26" s="51"/>
      <c r="K26" s="51"/>
      <c r="L26" s="51"/>
      <c r="M26" s="51"/>
      <c r="N26" s="51"/>
      <c r="O26" s="51"/>
    </row>
    <row r="27" spans="1:15" ht="18.75">
      <c r="A27" s="51"/>
      <c r="B27" s="51"/>
      <c r="C27" s="51"/>
      <c r="D27" s="51"/>
      <c r="E27" s="51"/>
      <c r="F27" s="51"/>
      <c r="G27" s="51"/>
      <c r="H27" s="51"/>
      <c r="I27" s="51"/>
      <c r="J27" s="51"/>
      <c r="K27" s="51"/>
      <c r="L27" s="51"/>
      <c r="M27" s="51"/>
      <c r="N27" s="51"/>
      <c r="O27" s="51"/>
    </row>
    <row r="28" spans="1:15" ht="18.75">
      <c r="A28" s="51"/>
      <c r="B28" s="51"/>
      <c r="C28" s="51"/>
      <c r="D28" s="51"/>
      <c r="E28" s="51"/>
      <c r="F28" s="51"/>
      <c r="G28" s="51"/>
      <c r="H28" s="51"/>
      <c r="I28" s="51"/>
      <c r="J28" s="51"/>
      <c r="K28" s="51"/>
      <c r="L28" s="51"/>
      <c r="M28" s="51"/>
      <c r="N28" s="51"/>
      <c r="O28" s="51"/>
    </row>
    <row r="29" spans="1:15" ht="18.75">
      <c r="A29" s="51"/>
      <c r="B29" s="51"/>
      <c r="C29" s="51"/>
      <c r="D29" s="51"/>
      <c r="E29" s="51"/>
      <c r="F29" s="51"/>
      <c r="G29" s="51"/>
      <c r="H29" s="51"/>
      <c r="I29" s="51"/>
      <c r="J29" s="51"/>
      <c r="K29" s="51"/>
      <c r="L29" s="51"/>
      <c r="M29" s="51"/>
      <c r="N29" s="51"/>
      <c r="O29" s="51"/>
    </row>
    <row r="30" spans="1:15" ht="18.75">
      <c r="A30" s="51"/>
      <c r="B30" s="51"/>
      <c r="C30" s="51"/>
      <c r="D30" s="51"/>
      <c r="E30" s="51"/>
      <c r="F30" s="51"/>
      <c r="G30" s="51"/>
      <c r="H30" s="51"/>
      <c r="I30" s="51"/>
      <c r="J30" s="51"/>
      <c r="K30" s="51"/>
      <c r="L30" s="51"/>
      <c r="M30" s="51"/>
      <c r="N30" s="51"/>
      <c r="O30" s="51"/>
    </row>
    <row r="31" spans="1:15" ht="18.75">
      <c r="A31" s="51"/>
      <c r="B31" s="51"/>
      <c r="C31" s="51"/>
      <c r="D31" s="51"/>
      <c r="E31" s="51"/>
      <c r="F31" s="51"/>
      <c r="G31" s="51"/>
      <c r="H31" s="51"/>
      <c r="I31" s="51"/>
      <c r="J31" s="51"/>
      <c r="K31" s="51"/>
      <c r="L31" s="51"/>
      <c r="M31" s="51"/>
      <c r="N31" s="51"/>
      <c r="O31" s="51"/>
    </row>
    <row r="32" spans="1:15" ht="18.75">
      <c r="A32" s="51"/>
      <c r="B32" s="51"/>
      <c r="C32" s="51"/>
      <c r="D32" s="51"/>
      <c r="E32" s="51"/>
      <c r="F32" s="51"/>
      <c r="G32" s="51"/>
      <c r="H32" s="51"/>
      <c r="I32" s="51"/>
      <c r="J32" s="51"/>
      <c r="K32" s="51"/>
      <c r="L32" s="51"/>
      <c r="M32" s="51"/>
      <c r="N32" s="51"/>
      <c r="O32" s="51"/>
    </row>
    <row r="33" spans="1:15" ht="18.75">
      <c r="A33" s="51"/>
      <c r="B33" s="51"/>
      <c r="C33" s="51"/>
      <c r="D33" s="51"/>
      <c r="E33" s="51"/>
      <c r="F33" s="51"/>
      <c r="G33" s="51"/>
      <c r="H33" s="51"/>
      <c r="I33" s="51"/>
      <c r="J33" s="51"/>
      <c r="K33" s="51"/>
      <c r="L33" s="51"/>
      <c r="M33" s="51"/>
      <c r="N33" s="51"/>
      <c r="O33" s="51"/>
    </row>
    <row r="34" spans="1:15" ht="18.75">
      <c r="A34" s="51"/>
      <c r="B34" s="51"/>
      <c r="C34" s="51"/>
      <c r="D34" s="51"/>
      <c r="E34" s="51"/>
      <c r="F34" s="51"/>
      <c r="G34" s="51"/>
      <c r="H34" s="51"/>
      <c r="I34" s="51"/>
      <c r="J34" s="51"/>
      <c r="K34" s="51"/>
      <c r="L34" s="51"/>
      <c r="M34" s="51"/>
      <c r="N34" s="51"/>
      <c r="O34" s="51"/>
    </row>
    <row r="35" spans="1:15" ht="18.75">
      <c r="A35" s="51"/>
      <c r="B35" s="51"/>
      <c r="C35" s="51"/>
      <c r="D35" s="51"/>
      <c r="E35" s="51"/>
      <c r="F35" s="51"/>
      <c r="G35" s="51"/>
      <c r="H35" s="51"/>
      <c r="I35" s="51"/>
      <c r="J35" s="51"/>
      <c r="K35" s="51"/>
      <c r="L35" s="51"/>
      <c r="M35" s="51"/>
      <c r="N35" s="51"/>
      <c r="O35" s="51"/>
    </row>
    <row r="36" spans="1:15" ht="22.5" customHeight="1">
      <c r="A36" s="51"/>
      <c r="B36" s="51"/>
      <c r="C36" s="51"/>
      <c r="D36" s="51"/>
      <c r="E36" s="51"/>
      <c r="F36" s="51"/>
      <c r="G36" s="51"/>
      <c r="H36" s="51"/>
      <c r="I36" s="51"/>
      <c r="J36" s="51"/>
      <c r="K36" s="51"/>
      <c r="L36" s="51"/>
      <c r="M36" s="51"/>
      <c r="N36" s="51"/>
      <c r="O36" s="51"/>
    </row>
    <row r="37" spans="1:15" ht="18.75">
      <c r="A37" s="51"/>
      <c r="B37" s="51"/>
      <c r="C37" s="51"/>
      <c r="D37" s="51"/>
      <c r="E37" s="51"/>
      <c r="F37" s="51"/>
      <c r="G37" s="51"/>
      <c r="H37" s="51"/>
      <c r="I37" s="51"/>
      <c r="J37" s="51"/>
      <c r="K37" s="51"/>
      <c r="L37" s="51"/>
      <c r="M37" s="51"/>
      <c r="N37" s="51"/>
      <c r="O37" s="51"/>
    </row>
    <row r="38" spans="1:15" ht="18.75">
      <c r="A38" s="51"/>
      <c r="B38" s="51"/>
      <c r="C38" s="51"/>
      <c r="D38" s="51"/>
      <c r="E38" s="51"/>
      <c r="F38" s="51"/>
      <c r="G38" s="51"/>
      <c r="H38" s="51"/>
      <c r="I38" s="51"/>
      <c r="J38" s="51"/>
      <c r="K38" s="51"/>
      <c r="L38" s="51"/>
      <c r="M38" s="51"/>
      <c r="N38" s="51"/>
      <c r="O38" s="51"/>
    </row>
    <row r="39" spans="1:15" ht="18.75">
      <c r="A39" s="51"/>
      <c r="B39" s="51"/>
      <c r="C39" s="51"/>
      <c r="D39" s="51"/>
      <c r="E39" s="51"/>
      <c r="F39" s="51"/>
      <c r="G39" s="51"/>
      <c r="H39" s="51"/>
      <c r="I39" s="51"/>
      <c r="J39" s="51"/>
      <c r="K39" s="51"/>
      <c r="L39" s="51"/>
      <c r="M39" s="51"/>
      <c r="N39" s="51"/>
      <c r="O39" s="51"/>
    </row>
    <row r="40" spans="1:15" ht="18.75">
      <c r="A40" s="51"/>
      <c r="B40" s="51"/>
      <c r="C40" s="51"/>
      <c r="D40" s="51"/>
      <c r="E40" s="51"/>
      <c r="F40" s="51"/>
      <c r="G40" s="51"/>
      <c r="H40" s="51"/>
      <c r="I40" s="51"/>
      <c r="J40" s="51"/>
      <c r="K40" s="51"/>
      <c r="L40" s="51"/>
      <c r="M40" s="51"/>
      <c r="N40" s="51"/>
      <c r="O40" s="51"/>
    </row>
  </sheetData>
  <mergeCells count="24">
    <mergeCell ref="L1:O1"/>
    <mergeCell ref="N7:N11"/>
    <mergeCell ref="O7:O11"/>
    <mergeCell ref="A2:O2"/>
    <mergeCell ref="A3:O3"/>
    <mergeCell ref="G6:G11"/>
    <mergeCell ref="F7:F11"/>
    <mergeCell ref="C5:F5"/>
    <mergeCell ref="D6:F6"/>
    <mergeCell ref="L5:O5"/>
    <mergeCell ref="M6:O6"/>
    <mergeCell ref="H7:H11"/>
    <mergeCell ref="I7:I11"/>
    <mergeCell ref="J7:J11"/>
    <mergeCell ref="L6:L11"/>
    <mergeCell ref="M7:M11"/>
    <mergeCell ref="K7:K11"/>
    <mergeCell ref="G5:K5"/>
    <mergeCell ref="H6:K6"/>
    <mergeCell ref="A5:A11"/>
    <mergeCell ref="B5:B11"/>
    <mergeCell ref="C6:C11"/>
    <mergeCell ref="D7:D11"/>
    <mergeCell ref="E7:E11"/>
  </mergeCells>
  <printOptions horizontalCentered="1"/>
  <pageMargins left="0.31496062992125984" right="0.31496062992125984" top="0.43307086614173229" bottom="0.43307086614173229" header="0.19685039370078741" footer="0.15748031496062992"/>
  <pageSetup paperSize="9" scale="74" fitToHeight="0" orientation="landscape" r:id="rId1"/>
  <headerFooter alignWithMargins="0">
    <oddFooter>&amp;C&amp;".VnTime,  Italic"&amp;8
&amp;".VnTimeH,Regular"&amp;12&amp;P/&amp;N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F43"/>
  <sheetViews>
    <sheetView showZeros="0" zoomScale="70" zoomScaleNormal="70" workbookViewId="0">
      <pane xSplit="2" ySplit="16" topLeftCell="C20" activePane="bottomRight" state="frozen"/>
      <selection activeCell="A40" sqref="A40:XFD41"/>
      <selection pane="topRight" activeCell="A40" sqref="A40:XFD41"/>
      <selection pane="bottomLeft" activeCell="A40" sqref="A40:XFD41"/>
      <selection pane="bottomRight" activeCell="A40" sqref="A40:XFD41"/>
    </sheetView>
  </sheetViews>
  <sheetFormatPr defaultRowHeight="15.75"/>
  <cols>
    <col min="1" max="1" width="5.85546875" style="42" customWidth="1"/>
    <col min="2" max="2" width="25.85546875" style="42" customWidth="1"/>
    <col min="3" max="4" width="13.85546875" style="42" customWidth="1"/>
    <col min="5" max="15" width="12.28515625" style="42" customWidth="1"/>
    <col min="16" max="16" width="12.7109375" style="42" customWidth="1"/>
    <col min="17" max="22" width="12.28515625" style="42" customWidth="1"/>
    <col min="23" max="23" width="15" style="42" customWidth="1"/>
    <col min="24" max="30" width="12.28515625" style="42" customWidth="1"/>
    <col min="31" max="31" width="10.85546875" style="42" customWidth="1"/>
    <col min="32" max="256" width="9.140625" style="42"/>
    <col min="257" max="257" width="5.85546875" style="42" customWidth="1"/>
    <col min="258" max="258" width="25.85546875" style="42" customWidth="1"/>
    <col min="259" max="260" width="13.85546875" style="42" customWidth="1"/>
    <col min="261" max="271" width="12.28515625" style="42" customWidth="1"/>
    <col min="272" max="272" width="12.7109375" style="42" customWidth="1"/>
    <col min="273" max="278" width="12.28515625" style="42" customWidth="1"/>
    <col min="279" max="279" width="15" style="42" customWidth="1"/>
    <col min="280" max="286" width="12.28515625" style="42" customWidth="1"/>
    <col min="287" max="287" width="10.85546875" style="42" customWidth="1"/>
    <col min="288" max="512" width="9.140625" style="42"/>
    <col min="513" max="513" width="5.85546875" style="42" customWidth="1"/>
    <col min="514" max="514" width="25.85546875" style="42" customWidth="1"/>
    <col min="515" max="516" width="13.85546875" style="42" customWidth="1"/>
    <col min="517" max="527" width="12.28515625" style="42" customWidth="1"/>
    <col min="528" max="528" width="12.7109375" style="42" customWidth="1"/>
    <col min="529" max="534" width="12.28515625" style="42" customWidth="1"/>
    <col min="535" max="535" width="15" style="42" customWidth="1"/>
    <col min="536" max="542" width="12.28515625" style="42" customWidth="1"/>
    <col min="543" max="543" width="10.85546875" style="42" customWidth="1"/>
    <col min="544" max="768" width="9.140625" style="42"/>
    <col min="769" max="769" width="5.85546875" style="42" customWidth="1"/>
    <col min="770" max="770" width="25.85546875" style="42" customWidth="1"/>
    <col min="771" max="772" width="13.85546875" style="42" customWidth="1"/>
    <col min="773" max="783" width="12.28515625" style="42" customWidth="1"/>
    <col min="784" max="784" width="12.7109375" style="42" customWidth="1"/>
    <col min="785" max="790" width="12.28515625" style="42" customWidth="1"/>
    <col min="791" max="791" width="15" style="42" customWidth="1"/>
    <col min="792" max="798" width="12.28515625" style="42" customWidth="1"/>
    <col min="799" max="799" width="10.85546875" style="42" customWidth="1"/>
    <col min="800" max="1024" width="9.140625" style="42"/>
    <col min="1025" max="1025" width="5.85546875" style="42" customWidth="1"/>
    <col min="1026" max="1026" width="25.85546875" style="42" customWidth="1"/>
    <col min="1027" max="1028" width="13.85546875" style="42" customWidth="1"/>
    <col min="1029" max="1039" width="12.28515625" style="42" customWidth="1"/>
    <col min="1040" max="1040" width="12.7109375" style="42" customWidth="1"/>
    <col min="1041" max="1046" width="12.28515625" style="42" customWidth="1"/>
    <col min="1047" max="1047" width="15" style="42" customWidth="1"/>
    <col min="1048" max="1054" width="12.28515625" style="42" customWidth="1"/>
    <col min="1055" max="1055" width="10.85546875" style="42" customWidth="1"/>
    <col min="1056" max="1280" width="9.140625" style="42"/>
    <col min="1281" max="1281" width="5.85546875" style="42" customWidth="1"/>
    <col min="1282" max="1282" width="25.85546875" style="42" customWidth="1"/>
    <col min="1283" max="1284" width="13.85546875" style="42" customWidth="1"/>
    <col min="1285" max="1295" width="12.28515625" style="42" customWidth="1"/>
    <col min="1296" max="1296" width="12.7109375" style="42" customWidth="1"/>
    <col min="1297" max="1302" width="12.28515625" style="42" customWidth="1"/>
    <col min="1303" max="1303" width="15" style="42" customWidth="1"/>
    <col min="1304" max="1310" width="12.28515625" style="42" customWidth="1"/>
    <col min="1311" max="1311" width="10.85546875" style="42" customWidth="1"/>
    <col min="1312" max="1536" width="9.140625" style="42"/>
    <col min="1537" max="1537" width="5.85546875" style="42" customWidth="1"/>
    <col min="1538" max="1538" width="25.85546875" style="42" customWidth="1"/>
    <col min="1539" max="1540" width="13.85546875" style="42" customWidth="1"/>
    <col min="1541" max="1551" width="12.28515625" style="42" customWidth="1"/>
    <col min="1552" max="1552" width="12.7109375" style="42" customWidth="1"/>
    <col min="1553" max="1558" width="12.28515625" style="42" customWidth="1"/>
    <col min="1559" max="1559" width="15" style="42" customWidth="1"/>
    <col min="1560" max="1566" width="12.28515625" style="42" customWidth="1"/>
    <col min="1567" max="1567" width="10.85546875" style="42" customWidth="1"/>
    <col min="1568" max="1792" width="9.140625" style="42"/>
    <col min="1793" max="1793" width="5.85546875" style="42" customWidth="1"/>
    <col min="1794" max="1794" width="25.85546875" style="42" customWidth="1"/>
    <col min="1795" max="1796" width="13.85546875" style="42" customWidth="1"/>
    <col min="1797" max="1807" width="12.28515625" style="42" customWidth="1"/>
    <col min="1808" max="1808" width="12.7109375" style="42" customWidth="1"/>
    <col min="1809" max="1814" width="12.28515625" style="42" customWidth="1"/>
    <col min="1815" max="1815" width="15" style="42" customWidth="1"/>
    <col min="1816" max="1822" width="12.28515625" style="42" customWidth="1"/>
    <col min="1823" max="1823" width="10.85546875" style="42" customWidth="1"/>
    <col min="1824" max="2048" width="9.140625" style="42"/>
    <col min="2049" max="2049" width="5.85546875" style="42" customWidth="1"/>
    <col min="2050" max="2050" width="25.85546875" style="42" customWidth="1"/>
    <col min="2051" max="2052" width="13.85546875" style="42" customWidth="1"/>
    <col min="2053" max="2063" width="12.28515625" style="42" customWidth="1"/>
    <col min="2064" max="2064" width="12.7109375" style="42" customWidth="1"/>
    <col min="2065" max="2070" width="12.28515625" style="42" customWidth="1"/>
    <col min="2071" max="2071" width="15" style="42" customWidth="1"/>
    <col min="2072" max="2078" width="12.28515625" style="42" customWidth="1"/>
    <col min="2079" max="2079" width="10.85546875" style="42" customWidth="1"/>
    <col min="2080" max="2304" width="9.140625" style="42"/>
    <col min="2305" max="2305" width="5.85546875" style="42" customWidth="1"/>
    <col min="2306" max="2306" width="25.85546875" style="42" customWidth="1"/>
    <col min="2307" max="2308" width="13.85546875" style="42" customWidth="1"/>
    <col min="2309" max="2319" width="12.28515625" style="42" customWidth="1"/>
    <col min="2320" max="2320" width="12.7109375" style="42" customWidth="1"/>
    <col min="2321" max="2326" width="12.28515625" style="42" customWidth="1"/>
    <col min="2327" max="2327" width="15" style="42" customWidth="1"/>
    <col min="2328" max="2334" width="12.28515625" style="42" customWidth="1"/>
    <col min="2335" max="2335" width="10.85546875" style="42" customWidth="1"/>
    <col min="2336" max="2560" width="9.140625" style="42"/>
    <col min="2561" max="2561" width="5.85546875" style="42" customWidth="1"/>
    <col min="2562" max="2562" width="25.85546875" style="42" customWidth="1"/>
    <col min="2563" max="2564" width="13.85546875" style="42" customWidth="1"/>
    <col min="2565" max="2575" width="12.28515625" style="42" customWidth="1"/>
    <col min="2576" max="2576" width="12.7109375" style="42" customWidth="1"/>
    <col min="2577" max="2582" width="12.28515625" style="42" customWidth="1"/>
    <col min="2583" max="2583" width="15" style="42" customWidth="1"/>
    <col min="2584" max="2590" width="12.28515625" style="42" customWidth="1"/>
    <col min="2591" max="2591" width="10.85546875" style="42" customWidth="1"/>
    <col min="2592" max="2816" width="9.140625" style="42"/>
    <col min="2817" max="2817" width="5.85546875" style="42" customWidth="1"/>
    <col min="2818" max="2818" width="25.85546875" style="42" customWidth="1"/>
    <col min="2819" max="2820" width="13.85546875" style="42" customWidth="1"/>
    <col min="2821" max="2831" width="12.28515625" style="42" customWidth="1"/>
    <col min="2832" max="2832" width="12.7109375" style="42" customWidth="1"/>
    <col min="2833" max="2838" width="12.28515625" style="42" customWidth="1"/>
    <col min="2839" max="2839" width="15" style="42" customWidth="1"/>
    <col min="2840" max="2846" width="12.28515625" style="42" customWidth="1"/>
    <col min="2847" max="2847" width="10.85546875" style="42" customWidth="1"/>
    <col min="2848" max="3072" width="9.140625" style="42"/>
    <col min="3073" max="3073" width="5.85546875" style="42" customWidth="1"/>
    <col min="3074" max="3074" width="25.85546875" style="42" customWidth="1"/>
    <col min="3075" max="3076" width="13.85546875" style="42" customWidth="1"/>
    <col min="3077" max="3087" width="12.28515625" style="42" customWidth="1"/>
    <col min="3088" max="3088" width="12.7109375" style="42" customWidth="1"/>
    <col min="3089" max="3094" width="12.28515625" style="42" customWidth="1"/>
    <col min="3095" max="3095" width="15" style="42" customWidth="1"/>
    <col min="3096" max="3102" width="12.28515625" style="42" customWidth="1"/>
    <col min="3103" max="3103" width="10.85546875" style="42" customWidth="1"/>
    <col min="3104" max="3328" width="9.140625" style="42"/>
    <col min="3329" max="3329" width="5.85546875" style="42" customWidth="1"/>
    <col min="3330" max="3330" width="25.85546875" style="42" customWidth="1"/>
    <col min="3331" max="3332" width="13.85546875" style="42" customWidth="1"/>
    <col min="3333" max="3343" width="12.28515625" style="42" customWidth="1"/>
    <col min="3344" max="3344" width="12.7109375" style="42" customWidth="1"/>
    <col min="3345" max="3350" width="12.28515625" style="42" customWidth="1"/>
    <col min="3351" max="3351" width="15" style="42" customWidth="1"/>
    <col min="3352" max="3358" width="12.28515625" style="42" customWidth="1"/>
    <col min="3359" max="3359" width="10.85546875" style="42" customWidth="1"/>
    <col min="3360" max="3584" width="9.140625" style="42"/>
    <col min="3585" max="3585" width="5.85546875" style="42" customWidth="1"/>
    <col min="3586" max="3586" width="25.85546875" style="42" customWidth="1"/>
    <col min="3587" max="3588" width="13.85546875" style="42" customWidth="1"/>
    <col min="3589" max="3599" width="12.28515625" style="42" customWidth="1"/>
    <col min="3600" max="3600" width="12.7109375" style="42" customWidth="1"/>
    <col min="3601" max="3606" width="12.28515625" style="42" customWidth="1"/>
    <col min="3607" max="3607" width="15" style="42" customWidth="1"/>
    <col min="3608" max="3614" width="12.28515625" style="42" customWidth="1"/>
    <col min="3615" max="3615" width="10.85546875" style="42" customWidth="1"/>
    <col min="3616" max="3840" width="9.140625" style="42"/>
    <col min="3841" max="3841" width="5.85546875" style="42" customWidth="1"/>
    <col min="3842" max="3842" width="25.85546875" style="42" customWidth="1"/>
    <col min="3843" max="3844" width="13.85546875" style="42" customWidth="1"/>
    <col min="3845" max="3855" width="12.28515625" style="42" customWidth="1"/>
    <col min="3856" max="3856" width="12.7109375" style="42" customWidth="1"/>
    <col min="3857" max="3862" width="12.28515625" style="42" customWidth="1"/>
    <col min="3863" max="3863" width="15" style="42" customWidth="1"/>
    <col min="3864" max="3870" width="12.28515625" style="42" customWidth="1"/>
    <col min="3871" max="3871" width="10.85546875" style="42" customWidth="1"/>
    <col min="3872" max="4096" width="9.140625" style="42"/>
    <col min="4097" max="4097" width="5.85546875" style="42" customWidth="1"/>
    <col min="4098" max="4098" width="25.85546875" style="42" customWidth="1"/>
    <col min="4099" max="4100" width="13.85546875" style="42" customWidth="1"/>
    <col min="4101" max="4111" width="12.28515625" style="42" customWidth="1"/>
    <col min="4112" max="4112" width="12.7109375" style="42" customWidth="1"/>
    <col min="4113" max="4118" width="12.28515625" style="42" customWidth="1"/>
    <col min="4119" max="4119" width="15" style="42" customWidth="1"/>
    <col min="4120" max="4126" width="12.28515625" style="42" customWidth="1"/>
    <col min="4127" max="4127" width="10.85546875" style="42" customWidth="1"/>
    <col min="4128" max="4352" width="9.140625" style="42"/>
    <col min="4353" max="4353" width="5.85546875" style="42" customWidth="1"/>
    <col min="4354" max="4354" width="25.85546875" style="42" customWidth="1"/>
    <col min="4355" max="4356" width="13.85546875" style="42" customWidth="1"/>
    <col min="4357" max="4367" width="12.28515625" style="42" customWidth="1"/>
    <col min="4368" max="4368" width="12.7109375" style="42" customWidth="1"/>
    <col min="4369" max="4374" width="12.28515625" style="42" customWidth="1"/>
    <col min="4375" max="4375" width="15" style="42" customWidth="1"/>
    <col min="4376" max="4382" width="12.28515625" style="42" customWidth="1"/>
    <col min="4383" max="4383" width="10.85546875" style="42" customWidth="1"/>
    <col min="4384" max="4608" width="9.140625" style="42"/>
    <col min="4609" max="4609" width="5.85546875" style="42" customWidth="1"/>
    <col min="4610" max="4610" width="25.85546875" style="42" customWidth="1"/>
    <col min="4611" max="4612" width="13.85546875" style="42" customWidth="1"/>
    <col min="4613" max="4623" width="12.28515625" style="42" customWidth="1"/>
    <col min="4624" max="4624" width="12.7109375" style="42" customWidth="1"/>
    <col min="4625" max="4630" width="12.28515625" style="42" customWidth="1"/>
    <col min="4631" max="4631" width="15" style="42" customWidth="1"/>
    <col min="4632" max="4638" width="12.28515625" style="42" customWidth="1"/>
    <col min="4639" max="4639" width="10.85546875" style="42" customWidth="1"/>
    <col min="4640" max="4864" width="9.140625" style="42"/>
    <col min="4865" max="4865" width="5.85546875" style="42" customWidth="1"/>
    <col min="4866" max="4866" width="25.85546875" style="42" customWidth="1"/>
    <col min="4867" max="4868" width="13.85546875" style="42" customWidth="1"/>
    <col min="4869" max="4879" width="12.28515625" style="42" customWidth="1"/>
    <col min="4880" max="4880" width="12.7109375" style="42" customWidth="1"/>
    <col min="4881" max="4886" width="12.28515625" style="42" customWidth="1"/>
    <col min="4887" max="4887" width="15" style="42" customWidth="1"/>
    <col min="4888" max="4894" width="12.28515625" style="42" customWidth="1"/>
    <col min="4895" max="4895" width="10.85546875" style="42" customWidth="1"/>
    <col min="4896" max="5120" width="9.140625" style="42"/>
    <col min="5121" max="5121" width="5.85546875" style="42" customWidth="1"/>
    <col min="5122" max="5122" width="25.85546875" style="42" customWidth="1"/>
    <col min="5123" max="5124" width="13.85546875" style="42" customWidth="1"/>
    <col min="5125" max="5135" width="12.28515625" style="42" customWidth="1"/>
    <col min="5136" max="5136" width="12.7109375" style="42" customWidth="1"/>
    <col min="5137" max="5142" width="12.28515625" style="42" customWidth="1"/>
    <col min="5143" max="5143" width="15" style="42" customWidth="1"/>
    <col min="5144" max="5150" width="12.28515625" style="42" customWidth="1"/>
    <col min="5151" max="5151" width="10.85546875" style="42" customWidth="1"/>
    <col min="5152" max="5376" width="9.140625" style="42"/>
    <col min="5377" max="5377" width="5.85546875" style="42" customWidth="1"/>
    <col min="5378" max="5378" width="25.85546875" style="42" customWidth="1"/>
    <col min="5379" max="5380" width="13.85546875" style="42" customWidth="1"/>
    <col min="5381" max="5391" width="12.28515625" style="42" customWidth="1"/>
    <col min="5392" max="5392" width="12.7109375" style="42" customWidth="1"/>
    <col min="5393" max="5398" width="12.28515625" style="42" customWidth="1"/>
    <col min="5399" max="5399" width="15" style="42" customWidth="1"/>
    <col min="5400" max="5406" width="12.28515625" style="42" customWidth="1"/>
    <col min="5407" max="5407" width="10.85546875" style="42" customWidth="1"/>
    <col min="5408" max="5632" width="9.140625" style="42"/>
    <col min="5633" max="5633" width="5.85546875" style="42" customWidth="1"/>
    <col min="5634" max="5634" width="25.85546875" style="42" customWidth="1"/>
    <col min="5635" max="5636" width="13.85546875" style="42" customWidth="1"/>
    <col min="5637" max="5647" width="12.28515625" style="42" customWidth="1"/>
    <col min="5648" max="5648" width="12.7109375" style="42" customWidth="1"/>
    <col min="5649" max="5654" width="12.28515625" style="42" customWidth="1"/>
    <col min="5655" max="5655" width="15" style="42" customWidth="1"/>
    <col min="5656" max="5662" width="12.28515625" style="42" customWidth="1"/>
    <col min="5663" max="5663" width="10.85546875" style="42" customWidth="1"/>
    <col min="5664" max="5888" width="9.140625" style="42"/>
    <col min="5889" max="5889" width="5.85546875" style="42" customWidth="1"/>
    <col min="5890" max="5890" width="25.85546875" style="42" customWidth="1"/>
    <col min="5891" max="5892" width="13.85546875" style="42" customWidth="1"/>
    <col min="5893" max="5903" width="12.28515625" style="42" customWidth="1"/>
    <col min="5904" max="5904" width="12.7109375" style="42" customWidth="1"/>
    <col min="5905" max="5910" width="12.28515625" style="42" customWidth="1"/>
    <col min="5911" max="5911" width="15" style="42" customWidth="1"/>
    <col min="5912" max="5918" width="12.28515625" style="42" customWidth="1"/>
    <col min="5919" max="5919" width="10.85546875" style="42" customWidth="1"/>
    <col min="5920" max="6144" width="9.140625" style="42"/>
    <col min="6145" max="6145" width="5.85546875" style="42" customWidth="1"/>
    <col min="6146" max="6146" width="25.85546875" style="42" customWidth="1"/>
    <col min="6147" max="6148" width="13.85546875" style="42" customWidth="1"/>
    <col min="6149" max="6159" width="12.28515625" style="42" customWidth="1"/>
    <col min="6160" max="6160" width="12.7109375" style="42" customWidth="1"/>
    <col min="6161" max="6166" width="12.28515625" style="42" customWidth="1"/>
    <col min="6167" max="6167" width="15" style="42" customWidth="1"/>
    <col min="6168" max="6174" width="12.28515625" style="42" customWidth="1"/>
    <col min="6175" max="6175" width="10.85546875" style="42" customWidth="1"/>
    <col min="6176" max="6400" width="9.140625" style="42"/>
    <col min="6401" max="6401" width="5.85546875" style="42" customWidth="1"/>
    <col min="6402" max="6402" width="25.85546875" style="42" customWidth="1"/>
    <col min="6403" max="6404" width="13.85546875" style="42" customWidth="1"/>
    <col min="6405" max="6415" width="12.28515625" style="42" customWidth="1"/>
    <col min="6416" max="6416" width="12.7109375" style="42" customWidth="1"/>
    <col min="6417" max="6422" width="12.28515625" style="42" customWidth="1"/>
    <col min="6423" max="6423" width="15" style="42" customWidth="1"/>
    <col min="6424" max="6430" width="12.28515625" style="42" customWidth="1"/>
    <col min="6431" max="6431" width="10.85546875" style="42" customWidth="1"/>
    <col min="6432" max="6656" width="9.140625" style="42"/>
    <col min="6657" max="6657" width="5.85546875" style="42" customWidth="1"/>
    <col min="6658" max="6658" width="25.85546875" style="42" customWidth="1"/>
    <col min="6659" max="6660" width="13.85546875" style="42" customWidth="1"/>
    <col min="6661" max="6671" width="12.28515625" style="42" customWidth="1"/>
    <col min="6672" max="6672" width="12.7109375" style="42" customWidth="1"/>
    <col min="6673" max="6678" width="12.28515625" style="42" customWidth="1"/>
    <col min="6679" max="6679" width="15" style="42" customWidth="1"/>
    <col min="6680" max="6686" width="12.28515625" style="42" customWidth="1"/>
    <col min="6687" max="6687" width="10.85546875" style="42" customWidth="1"/>
    <col min="6688" max="6912" width="9.140625" style="42"/>
    <col min="6913" max="6913" width="5.85546875" style="42" customWidth="1"/>
    <col min="6914" max="6914" width="25.85546875" style="42" customWidth="1"/>
    <col min="6915" max="6916" width="13.85546875" style="42" customWidth="1"/>
    <col min="6917" max="6927" width="12.28515625" style="42" customWidth="1"/>
    <col min="6928" max="6928" width="12.7109375" style="42" customWidth="1"/>
    <col min="6929" max="6934" width="12.28515625" style="42" customWidth="1"/>
    <col min="6935" max="6935" width="15" style="42" customWidth="1"/>
    <col min="6936" max="6942" width="12.28515625" style="42" customWidth="1"/>
    <col min="6943" max="6943" width="10.85546875" style="42" customWidth="1"/>
    <col min="6944" max="7168" width="9.140625" style="42"/>
    <col min="7169" max="7169" width="5.85546875" style="42" customWidth="1"/>
    <col min="7170" max="7170" width="25.85546875" style="42" customWidth="1"/>
    <col min="7171" max="7172" width="13.85546875" style="42" customWidth="1"/>
    <col min="7173" max="7183" width="12.28515625" style="42" customWidth="1"/>
    <col min="7184" max="7184" width="12.7109375" style="42" customWidth="1"/>
    <col min="7185" max="7190" width="12.28515625" style="42" customWidth="1"/>
    <col min="7191" max="7191" width="15" style="42" customWidth="1"/>
    <col min="7192" max="7198" width="12.28515625" style="42" customWidth="1"/>
    <col min="7199" max="7199" width="10.85546875" style="42" customWidth="1"/>
    <col min="7200" max="7424" width="9.140625" style="42"/>
    <col min="7425" max="7425" width="5.85546875" style="42" customWidth="1"/>
    <col min="7426" max="7426" width="25.85546875" style="42" customWidth="1"/>
    <col min="7427" max="7428" width="13.85546875" style="42" customWidth="1"/>
    <col min="7429" max="7439" width="12.28515625" style="42" customWidth="1"/>
    <col min="7440" max="7440" width="12.7109375" style="42" customWidth="1"/>
    <col min="7441" max="7446" width="12.28515625" style="42" customWidth="1"/>
    <col min="7447" max="7447" width="15" style="42" customWidth="1"/>
    <col min="7448" max="7454" width="12.28515625" style="42" customWidth="1"/>
    <col min="7455" max="7455" width="10.85546875" style="42" customWidth="1"/>
    <col min="7456" max="7680" width="9.140625" style="42"/>
    <col min="7681" max="7681" width="5.85546875" style="42" customWidth="1"/>
    <col min="7682" max="7682" width="25.85546875" style="42" customWidth="1"/>
    <col min="7683" max="7684" width="13.85546875" style="42" customWidth="1"/>
    <col min="7685" max="7695" width="12.28515625" style="42" customWidth="1"/>
    <col min="7696" max="7696" width="12.7109375" style="42" customWidth="1"/>
    <col min="7697" max="7702" width="12.28515625" style="42" customWidth="1"/>
    <col min="7703" max="7703" width="15" style="42" customWidth="1"/>
    <col min="7704" max="7710" width="12.28515625" style="42" customWidth="1"/>
    <col min="7711" max="7711" width="10.85546875" style="42" customWidth="1"/>
    <col min="7712" max="7936" width="9.140625" style="42"/>
    <col min="7937" max="7937" width="5.85546875" style="42" customWidth="1"/>
    <col min="7938" max="7938" width="25.85546875" style="42" customWidth="1"/>
    <col min="7939" max="7940" width="13.85546875" style="42" customWidth="1"/>
    <col min="7941" max="7951" width="12.28515625" style="42" customWidth="1"/>
    <col min="7952" max="7952" width="12.7109375" style="42" customWidth="1"/>
    <col min="7953" max="7958" width="12.28515625" style="42" customWidth="1"/>
    <col min="7959" max="7959" width="15" style="42" customWidth="1"/>
    <col min="7960" max="7966" width="12.28515625" style="42" customWidth="1"/>
    <col min="7967" max="7967" width="10.85546875" style="42" customWidth="1"/>
    <col min="7968" max="8192" width="9.140625" style="42"/>
    <col min="8193" max="8193" width="5.85546875" style="42" customWidth="1"/>
    <col min="8194" max="8194" width="25.85546875" style="42" customWidth="1"/>
    <col min="8195" max="8196" width="13.85546875" style="42" customWidth="1"/>
    <col min="8197" max="8207" width="12.28515625" style="42" customWidth="1"/>
    <col min="8208" max="8208" width="12.7109375" style="42" customWidth="1"/>
    <col min="8209" max="8214" width="12.28515625" style="42" customWidth="1"/>
    <col min="8215" max="8215" width="15" style="42" customWidth="1"/>
    <col min="8216" max="8222" width="12.28515625" style="42" customWidth="1"/>
    <col min="8223" max="8223" width="10.85546875" style="42" customWidth="1"/>
    <col min="8224" max="8448" width="9.140625" style="42"/>
    <col min="8449" max="8449" width="5.85546875" style="42" customWidth="1"/>
    <col min="8450" max="8450" width="25.85546875" style="42" customWidth="1"/>
    <col min="8451" max="8452" width="13.85546875" style="42" customWidth="1"/>
    <col min="8453" max="8463" width="12.28515625" style="42" customWidth="1"/>
    <col min="8464" max="8464" width="12.7109375" style="42" customWidth="1"/>
    <col min="8465" max="8470" width="12.28515625" style="42" customWidth="1"/>
    <col min="8471" max="8471" width="15" style="42" customWidth="1"/>
    <col min="8472" max="8478" width="12.28515625" style="42" customWidth="1"/>
    <col min="8479" max="8479" width="10.85546875" style="42" customWidth="1"/>
    <col min="8480" max="8704" width="9.140625" style="42"/>
    <col min="8705" max="8705" width="5.85546875" style="42" customWidth="1"/>
    <col min="8706" max="8706" width="25.85546875" style="42" customWidth="1"/>
    <col min="8707" max="8708" width="13.85546875" style="42" customWidth="1"/>
    <col min="8709" max="8719" width="12.28515625" style="42" customWidth="1"/>
    <col min="8720" max="8720" width="12.7109375" style="42" customWidth="1"/>
    <col min="8721" max="8726" width="12.28515625" style="42" customWidth="1"/>
    <col min="8727" max="8727" width="15" style="42" customWidth="1"/>
    <col min="8728" max="8734" width="12.28515625" style="42" customWidth="1"/>
    <col min="8735" max="8735" width="10.85546875" style="42" customWidth="1"/>
    <col min="8736" max="8960" width="9.140625" style="42"/>
    <col min="8961" max="8961" width="5.85546875" style="42" customWidth="1"/>
    <col min="8962" max="8962" width="25.85546875" style="42" customWidth="1"/>
    <col min="8963" max="8964" width="13.85546875" style="42" customWidth="1"/>
    <col min="8965" max="8975" width="12.28515625" style="42" customWidth="1"/>
    <col min="8976" max="8976" width="12.7109375" style="42" customWidth="1"/>
    <col min="8977" max="8982" width="12.28515625" style="42" customWidth="1"/>
    <col min="8983" max="8983" width="15" style="42" customWidth="1"/>
    <col min="8984" max="8990" width="12.28515625" style="42" customWidth="1"/>
    <col min="8991" max="8991" width="10.85546875" style="42" customWidth="1"/>
    <col min="8992" max="9216" width="9.140625" style="42"/>
    <col min="9217" max="9217" width="5.85546875" style="42" customWidth="1"/>
    <col min="9218" max="9218" width="25.85546875" style="42" customWidth="1"/>
    <col min="9219" max="9220" width="13.85546875" style="42" customWidth="1"/>
    <col min="9221" max="9231" width="12.28515625" style="42" customWidth="1"/>
    <col min="9232" max="9232" width="12.7109375" style="42" customWidth="1"/>
    <col min="9233" max="9238" width="12.28515625" style="42" customWidth="1"/>
    <col min="9239" max="9239" width="15" style="42" customWidth="1"/>
    <col min="9240" max="9246" width="12.28515625" style="42" customWidth="1"/>
    <col min="9247" max="9247" width="10.85546875" style="42" customWidth="1"/>
    <col min="9248" max="9472" width="9.140625" style="42"/>
    <col min="9473" max="9473" width="5.85546875" style="42" customWidth="1"/>
    <col min="9474" max="9474" width="25.85546875" style="42" customWidth="1"/>
    <col min="9475" max="9476" width="13.85546875" style="42" customWidth="1"/>
    <col min="9477" max="9487" width="12.28515625" style="42" customWidth="1"/>
    <col min="9488" max="9488" width="12.7109375" style="42" customWidth="1"/>
    <col min="9489" max="9494" width="12.28515625" style="42" customWidth="1"/>
    <col min="9495" max="9495" width="15" style="42" customWidth="1"/>
    <col min="9496" max="9502" width="12.28515625" style="42" customWidth="1"/>
    <col min="9503" max="9503" width="10.85546875" style="42" customWidth="1"/>
    <col min="9504" max="9728" width="9.140625" style="42"/>
    <col min="9729" max="9729" width="5.85546875" style="42" customWidth="1"/>
    <col min="9730" max="9730" width="25.85546875" style="42" customWidth="1"/>
    <col min="9731" max="9732" width="13.85546875" style="42" customWidth="1"/>
    <col min="9733" max="9743" width="12.28515625" style="42" customWidth="1"/>
    <col min="9744" max="9744" width="12.7109375" style="42" customWidth="1"/>
    <col min="9745" max="9750" width="12.28515625" style="42" customWidth="1"/>
    <col min="9751" max="9751" width="15" style="42" customWidth="1"/>
    <col min="9752" max="9758" width="12.28515625" style="42" customWidth="1"/>
    <col min="9759" max="9759" width="10.85546875" style="42" customWidth="1"/>
    <col min="9760" max="9984" width="9.140625" style="42"/>
    <col min="9985" max="9985" width="5.85546875" style="42" customWidth="1"/>
    <col min="9986" max="9986" width="25.85546875" style="42" customWidth="1"/>
    <col min="9987" max="9988" width="13.85546875" style="42" customWidth="1"/>
    <col min="9989" max="9999" width="12.28515625" style="42" customWidth="1"/>
    <col min="10000" max="10000" width="12.7109375" style="42" customWidth="1"/>
    <col min="10001" max="10006" width="12.28515625" style="42" customWidth="1"/>
    <col min="10007" max="10007" width="15" style="42" customWidth="1"/>
    <col min="10008" max="10014" width="12.28515625" style="42" customWidth="1"/>
    <col min="10015" max="10015" width="10.85546875" style="42" customWidth="1"/>
    <col min="10016" max="10240" width="9.140625" style="42"/>
    <col min="10241" max="10241" width="5.85546875" style="42" customWidth="1"/>
    <col min="10242" max="10242" width="25.85546875" style="42" customWidth="1"/>
    <col min="10243" max="10244" width="13.85546875" style="42" customWidth="1"/>
    <col min="10245" max="10255" width="12.28515625" style="42" customWidth="1"/>
    <col min="10256" max="10256" width="12.7109375" style="42" customWidth="1"/>
    <col min="10257" max="10262" width="12.28515625" style="42" customWidth="1"/>
    <col min="10263" max="10263" width="15" style="42" customWidth="1"/>
    <col min="10264" max="10270" width="12.28515625" style="42" customWidth="1"/>
    <col min="10271" max="10271" width="10.85546875" style="42" customWidth="1"/>
    <col min="10272" max="10496" width="9.140625" style="42"/>
    <col min="10497" max="10497" width="5.85546875" style="42" customWidth="1"/>
    <col min="10498" max="10498" width="25.85546875" style="42" customWidth="1"/>
    <col min="10499" max="10500" width="13.85546875" style="42" customWidth="1"/>
    <col min="10501" max="10511" width="12.28515625" style="42" customWidth="1"/>
    <col min="10512" max="10512" width="12.7109375" style="42" customWidth="1"/>
    <col min="10513" max="10518" width="12.28515625" style="42" customWidth="1"/>
    <col min="10519" max="10519" width="15" style="42" customWidth="1"/>
    <col min="10520" max="10526" width="12.28515625" style="42" customWidth="1"/>
    <col min="10527" max="10527" width="10.85546875" style="42" customWidth="1"/>
    <col min="10528" max="10752" width="9.140625" style="42"/>
    <col min="10753" max="10753" width="5.85546875" style="42" customWidth="1"/>
    <col min="10754" max="10754" width="25.85546875" style="42" customWidth="1"/>
    <col min="10755" max="10756" width="13.85546875" style="42" customWidth="1"/>
    <col min="10757" max="10767" width="12.28515625" style="42" customWidth="1"/>
    <col min="10768" max="10768" width="12.7109375" style="42" customWidth="1"/>
    <col min="10769" max="10774" width="12.28515625" style="42" customWidth="1"/>
    <col min="10775" max="10775" width="15" style="42" customWidth="1"/>
    <col min="10776" max="10782" width="12.28515625" style="42" customWidth="1"/>
    <col min="10783" max="10783" width="10.85546875" style="42" customWidth="1"/>
    <col min="10784" max="11008" width="9.140625" style="42"/>
    <col min="11009" max="11009" width="5.85546875" style="42" customWidth="1"/>
    <col min="11010" max="11010" width="25.85546875" style="42" customWidth="1"/>
    <col min="11011" max="11012" width="13.85546875" style="42" customWidth="1"/>
    <col min="11013" max="11023" width="12.28515625" style="42" customWidth="1"/>
    <col min="11024" max="11024" width="12.7109375" style="42" customWidth="1"/>
    <col min="11025" max="11030" width="12.28515625" style="42" customWidth="1"/>
    <col min="11031" max="11031" width="15" style="42" customWidth="1"/>
    <col min="11032" max="11038" width="12.28515625" style="42" customWidth="1"/>
    <col min="11039" max="11039" width="10.85546875" style="42" customWidth="1"/>
    <col min="11040" max="11264" width="9.140625" style="42"/>
    <col min="11265" max="11265" width="5.85546875" style="42" customWidth="1"/>
    <col min="11266" max="11266" width="25.85546875" style="42" customWidth="1"/>
    <col min="11267" max="11268" width="13.85546875" style="42" customWidth="1"/>
    <col min="11269" max="11279" width="12.28515625" style="42" customWidth="1"/>
    <col min="11280" max="11280" width="12.7109375" style="42" customWidth="1"/>
    <col min="11281" max="11286" width="12.28515625" style="42" customWidth="1"/>
    <col min="11287" max="11287" width="15" style="42" customWidth="1"/>
    <col min="11288" max="11294" width="12.28515625" style="42" customWidth="1"/>
    <col min="11295" max="11295" width="10.85546875" style="42" customWidth="1"/>
    <col min="11296" max="11520" width="9.140625" style="42"/>
    <col min="11521" max="11521" width="5.85546875" style="42" customWidth="1"/>
    <col min="11522" max="11522" width="25.85546875" style="42" customWidth="1"/>
    <col min="11523" max="11524" width="13.85546875" style="42" customWidth="1"/>
    <col min="11525" max="11535" width="12.28515625" style="42" customWidth="1"/>
    <col min="11536" max="11536" width="12.7109375" style="42" customWidth="1"/>
    <col min="11537" max="11542" width="12.28515625" style="42" customWidth="1"/>
    <col min="11543" max="11543" width="15" style="42" customWidth="1"/>
    <col min="11544" max="11550" width="12.28515625" style="42" customWidth="1"/>
    <col min="11551" max="11551" width="10.85546875" style="42" customWidth="1"/>
    <col min="11552" max="11776" width="9.140625" style="42"/>
    <col min="11777" max="11777" width="5.85546875" style="42" customWidth="1"/>
    <col min="11778" max="11778" width="25.85546875" style="42" customWidth="1"/>
    <col min="11779" max="11780" width="13.85546875" style="42" customWidth="1"/>
    <col min="11781" max="11791" width="12.28515625" style="42" customWidth="1"/>
    <col min="11792" max="11792" width="12.7109375" style="42" customWidth="1"/>
    <col min="11793" max="11798" width="12.28515625" style="42" customWidth="1"/>
    <col min="11799" max="11799" width="15" style="42" customWidth="1"/>
    <col min="11800" max="11806" width="12.28515625" style="42" customWidth="1"/>
    <col min="11807" max="11807" width="10.85546875" style="42" customWidth="1"/>
    <col min="11808" max="12032" width="9.140625" style="42"/>
    <col min="12033" max="12033" width="5.85546875" style="42" customWidth="1"/>
    <col min="12034" max="12034" width="25.85546875" style="42" customWidth="1"/>
    <col min="12035" max="12036" width="13.85546875" style="42" customWidth="1"/>
    <col min="12037" max="12047" width="12.28515625" style="42" customWidth="1"/>
    <col min="12048" max="12048" width="12.7109375" style="42" customWidth="1"/>
    <col min="12049" max="12054" width="12.28515625" style="42" customWidth="1"/>
    <col min="12055" max="12055" width="15" style="42" customWidth="1"/>
    <col min="12056" max="12062" width="12.28515625" style="42" customWidth="1"/>
    <col min="12063" max="12063" width="10.85546875" style="42" customWidth="1"/>
    <col min="12064" max="12288" width="9.140625" style="42"/>
    <col min="12289" max="12289" width="5.85546875" style="42" customWidth="1"/>
    <col min="12290" max="12290" width="25.85546875" style="42" customWidth="1"/>
    <col min="12291" max="12292" width="13.85546875" style="42" customWidth="1"/>
    <col min="12293" max="12303" width="12.28515625" style="42" customWidth="1"/>
    <col min="12304" max="12304" width="12.7109375" style="42" customWidth="1"/>
    <col min="12305" max="12310" width="12.28515625" style="42" customWidth="1"/>
    <col min="12311" max="12311" width="15" style="42" customWidth="1"/>
    <col min="12312" max="12318" width="12.28515625" style="42" customWidth="1"/>
    <col min="12319" max="12319" width="10.85546875" style="42" customWidth="1"/>
    <col min="12320" max="12544" width="9.140625" style="42"/>
    <col min="12545" max="12545" width="5.85546875" style="42" customWidth="1"/>
    <col min="12546" max="12546" width="25.85546875" style="42" customWidth="1"/>
    <col min="12547" max="12548" width="13.85546875" style="42" customWidth="1"/>
    <col min="12549" max="12559" width="12.28515625" style="42" customWidth="1"/>
    <col min="12560" max="12560" width="12.7109375" style="42" customWidth="1"/>
    <col min="12561" max="12566" width="12.28515625" style="42" customWidth="1"/>
    <col min="12567" max="12567" width="15" style="42" customWidth="1"/>
    <col min="12568" max="12574" width="12.28515625" style="42" customWidth="1"/>
    <col min="12575" max="12575" width="10.85546875" style="42" customWidth="1"/>
    <col min="12576" max="12800" width="9.140625" style="42"/>
    <col min="12801" max="12801" width="5.85546875" style="42" customWidth="1"/>
    <col min="12802" max="12802" width="25.85546875" style="42" customWidth="1"/>
    <col min="12803" max="12804" width="13.85546875" style="42" customWidth="1"/>
    <col min="12805" max="12815" width="12.28515625" style="42" customWidth="1"/>
    <col min="12816" max="12816" width="12.7109375" style="42" customWidth="1"/>
    <col min="12817" max="12822" width="12.28515625" style="42" customWidth="1"/>
    <col min="12823" max="12823" width="15" style="42" customWidth="1"/>
    <col min="12824" max="12830" width="12.28515625" style="42" customWidth="1"/>
    <col min="12831" max="12831" width="10.85546875" style="42" customWidth="1"/>
    <col min="12832" max="13056" width="9.140625" style="42"/>
    <col min="13057" max="13057" width="5.85546875" style="42" customWidth="1"/>
    <col min="13058" max="13058" width="25.85546875" style="42" customWidth="1"/>
    <col min="13059" max="13060" width="13.85546875" style="42" customWidth="1"/>
    <col min="13061" max="13071" width="12.28515625" style="42" customWidth="1"/>
    <col min="13072" max="13072" width="12.7109375" style="42" customWidth="1"/>
    <col min="13073" max="13078" width="12.28515625" style="42" customWidth="1"/>
    <col min="13079" max="13079" width="15" style="42" customWidth="1"/>
    <col min="13080" max="13086" width="12.28515625" style="42" customWidth="1"/>
    <col min="13087" max="13087" width="10.85546875" style="42" customWidth="1"/>
    <col min="13088" max="13312" width="9.140625" style="42"/>
    <col min="13313" max="13313" width="5.85546875" style="42" customWidth="1"/>
    <col min="13314" max="13314" width="25.85546875" style="42" customWidth="1"/>
    <col min="13315" max="13316" width="13.85546875" style="42" customWidth="1"/>
    <col min="13317" max="13327" width="12.28515625" style="42" customWidth="1"/>
    <col min="13328" max="13328" width="12.7109375" style="42" customWidth="1"/>
    <col min="13329" max="13334" width="12.28515625" style="42" customWidth="1"/>
    <col min="13335" max="13335" width="15" style="42" customWidth="1"/>
    <col min="13336" max="13342" width="12.28515625" style="42" customWidth="1"/>
    <col min="13343" max="13343" width="10.85546875" style="42" customWidth="1"/>
    <col min="13344" max="13568" width="9.140625" style="42"/>
    <col min="13569" max="13569" width="5.85546875" style="42" customWidth="1"/>
    <col min="13570" max="13570" width="25.85546875" style="42" customWidth="1"/>
    <col min="13571" max="13572" width="13.85546875" style="42" customWidth="1"/>
    <col min="13573" max="13583" width="12.28515625" style="42" customWidth="1"/>
    <col min="13584" max="13584" width="12.7109375" style="42" customWidth="1"/>
    <col min="13585" max="13590" width="12.28515625" style="42" customWidth="1"/>
    <col min="13591" max="13591" width="15" style="42" customWidth="1"/>
    <col min="13592" max="13598" width="12.28515625" style="42" customWidth="1"/>
    <col min="13599" max="13599" width="10.85546875" style="42" customWidth="1"/>
    <col min="13600" max="13824" width="9.140625" style="42"/>
    <col min="13825" max="13825" width="5.85546875" style="42" customWidth="1"/>
    <col min="13826" max="13826" width="25.85546875" style="42" customWidth="1"/>
    <col min="13827" max="13828" width="13.85546875" style="42" customWidth="1"/>
    <col min="13829" max="13839" width="12.28515625" style="42" customWidth="1"/>
    <col min="13840" max="13840" width="12.7109375" style="42" customWidth="1"/>
    <col min="13841" max="13846" width="12.28515625" style="42" customWidth="1"/>
    <col min="13847" max="13847" width="15" style="42" customWidth="1"/>
    <col min="13848" max="13854" width="12.28515625" style="42" customWidth="1"/>
    <col min="13855" max="13855" width="10.85546875" style="42" customWidth="1"/>
    <col min="13856" max="14080" width="9.140625" style="42"/>
    <col min="14081" max="14081" width="5.85546875" style="42" customWidth="1"/>
    <col min="14082" max="14082" width="25.85546875" style="42" customWidth="1"/>
    <col min="14083" max="14084" width="13.85546875" style="42" customWidth="1"/>
    <col min="14085" max="14095" width="12.28515625" style="42" customWidth="1"/>
    <col min="14096" max="14096" width="12.7109375" style="42" customWidth="1"/>
    <col min="14097" max="14102" width="12.28515625" style="42" customWidth="1"/>
    <col min="14103" max="14103" width="15" style="42" customWidth="1"/>
    <col min="14104" max="14110" width="12.28515625" style="42" customWidth="1"/>
    <col min="14111" max="14111" width="10.85546875" style="42" customWidth="1"/>
    <col min="14112" max="14336" width="9.140625" style="42"/>
    <col min="14337" max="14337" width="5.85546875" style="42" customWidth="1"/>
    <col min="14338" max="14338" width="25.85546875" style="42" customWidth="1"/>
    <col min="14339" max="14340" width="13.85546875" style="42" customWidth="1"/>
    <col min="14341" max="14351" width="12.28515625" style="42" customWidth="1"/>
    <col min="14352" max="14352" width="12.7109375" style="42" customWidth="1"/>
    <col min="14353" max="14358" width="12.28515625" style="42" customWidth="1"/>
    <col min="14359" max="14359" width="15" style="42" customWidth="1"/>
    <col min="14360" max="14366" width="12.28515625" style="42" customWidth="1"/>
    <col min="14367" max="14367" width="10.85546875" style="42" customWidth="1"/>
    <col min="14368" max="14592" width="9.140625" style="42"/>
    <col min="14593" max="14593" width="5.85546875" style="42" customWidth="1"/>
    <col min="14594" max="14594" width="25.85546875" style="42" customWidth="1"/>
    <col min="14595" max="14596" width="13.85546875" style="42" customWidth="1"/>
    <col min="14597" max="14607" width="12.28515625" style="42" customWidth="1"/>
    <col min="14608" max="14608" width="12.7109375" style="42" customWidth="1"/>
    <col min="14609" max="14614" width="12.28515625" style="42" customWidth="1"/>
    <col min="14615" max="14615" width="15" style="42" customWidth="1"/>
    <col min="14616" max="14622" width="12.28515625" style="42" customWidth="1"/>
    <col min="14623" max="14623" width="10.85546875" style="42" customWidth="1"/>
    <col min="14624" max="14848" width="9.140625" style="42"/>
    <col min="14849" max="14849" width="5.85546875" style="42" customWidth="1"/>
    <col min="14850" max="14850" width="25.85546875" style="42" customWidth="1"/>
    <col min="14851" max="14852" width="13.85546875" style="42" customWidth="1"/>
    <col min="14853" max="14863" width="12.28515625" style="42" customWidth="1"/>
    <col min="14864" max="14864" width="12.7109375" style="42" customWidth="1"/>
    <col min="14865" max="14870" width="12.28515625" style="42" customWidth="1"/>
    <col min="14871" max="14871" width="15" style="42" customWidth="1"/>
    <col min="14872" max="14878" width="12.28515625" style="42" customWidth="1"/>
    <col min="14879" max="14879" width="10.85546875" style="42" customWidth="1"/>
    <col min="14880" max="15104" width="9.140625" style="42"/>
    <col min="15105" max="15105" width="5.85546875" style="42" customWidth="1"/>
    <col min="15106" max="15106" width="25.85546875" style="42" customWidth="1"/>
    <col min="15107" max="15108" width="13.85546875" style="42" customWidth="1"/>
    <col min="15109" max="15119" width="12.28515625" style="42" customWidth="1"/>
    <col min="15120" max="15120" width="12.7109375" style="42" customWidth="1"/>
    <col min="15121" max="15126" width="12.28515625" style="42" customWidth="1"/>
    <col min="15127" max="15127" width="15" style="42" customWidth="1"/>
    <col min="15128" max="15134" width="12.28515625" style="42" customWidth="1"/>
    <col min="15135" max="15135" width="10.85546875" style="42" customWidth="1"/>
    <col min="15136" max="15360" width="9.140625" style="42"/>
    <col min="15361" max="15361" width="5.85546875" style="42" customWidth="1"/>
    <col min="15362" max="15362" width="25.85546875" style="42" customWidth="1"/>
    <col min="15363" max="15364" width="13.85546875" style="42" customWidth="1"/>
    <col min="15365" max="15375" width="12.28515625" style="42" customWidth="1"/>
    <col min="15376" max="15376" width="12.7109375" style="42" customWidth="1"/>
    <col min="15377" max="15382" width="12.28515625" style="42" customWidth="1"/>
    <col min="15383" max="15383" width="15" style="42" customWidth="1"/>
    <col min="15384" max="15390" width="12.28515625" style="42" customWidth="1"/>
    <col min="15391" max="15391" width="10.85546875" style="42" customWidth="1"/>
    <col min="15392" max="15616" width="9.140625" style="42"/>
    <col min="15617" max="15617" width="5.85546875" style="42" customWidth="1"/>
    <col min="15618" max="15618" width="25.85546875" style="42" customWidth="1"/>
    <col min="15619" max="15620" width="13.85546875" style="42" customWidth="1"/>
    <col min="15621" max="15631" width="12.28515625" style="42" customWidth="1"/>
    <col min="15632" max="15632" width="12.7109375" style="42" customWidth="1"/>
    <col min="15633" max="15638" width="12.28515625" style="42" customWidth="1"/>
    <col min="15639" max="15639" width="15" style="42" customWidth="1"/>
    <col min="15640" max="15646" width="12.28515625" style="42" customWidth="1"/>
    <col min="15647" max="15647" width="10.85546875" style="42" customWidth="1"/>
    <col min="15648" max="15872" width="9.140625" style="42"/>
    <col min="15873" max="15873" width="5.85546875" style="42" customWidth="1"/>
    <col min="15874" max="15874" width="25.85546875" style="42" customWidth="1"/>
    <col min="15875" max="15876" width="13.85546875" style="42" customWidth="1"/>
    <col min="15877" max="15887" width="12.28515625" style="42" customWidth="1"/>
    <col min="15888" max="15888" width="12.7109375" style="42" customWidth="1"/>
    <col min="15889" max="15894" width="12.28515625" style="42" customWidth="1"/>
    <col min="15895" max="15895" width="15" style="42" customWidth="1"/>
    <col min="15896" max="15902" width="12.28515625" style="42" customWidth="1"/>
    <col min="15903" max="15903" width="10.85546875" style="42" customWidth="1"/>
    <col min="15904" max="16128" width="9.140625" style="42"/>
    <col min="16129" max="16129" width="5.85546875" style="42" customWidth="1"/>
    <col min="16130" max="16130" width="25.85546875" style="42" customWidth="1"/>
    <col min="16131" max="16132" width="13.85546875" style="42" customWidth="1"/>
    <col min="16133" max="16143" width="12.28515625" style="42" customWidth="1"/>
    <col min="16144" max="16144" width="12.7109375" style="42" customWidth="1"/>
    <col min="16145" max="16150" width="12.28515625" style="42" customWidth="1"/>
    <col min="16151" max="16151" width="15" style="42" customWidth="1"/>
    <col min="16152" max="16158" width="12.28515625" style="42" customWidth="1"/>
    <col min="16159" max="16159" width="10.85546875" style="42" customWidth="1"/>
    <col min="16160" max="16384" width="9.140625" style="42"/>
  </cols>
  <sheetData>
    <row r="1" spans="1:32" ht="21" customHeight="1">
      <c r="A1" s="40"/>
      <c r="B1" s="40"/>
      <c r="C1" s="69"/>
      <c r="D1" s="69"/>
      <c r="E1" s="69"/>
      <c r="F1" s="69"/>
      <c r="G1" s="69"/>
      <c r="H1" s="69"/>
      <c r="I1" s="69"/>
      <c r="J1" s="69"/>
      <c r="K1" s="69"/>
      <c r="L1" s="69"/>
      <c r="M1" s="69"/>
      <c r="N1" s="69"/>
      <c r="O1" s="69"/>
      <c r="P1" s="69"/>
      <c r="Q1" s="69"/>
      <c r="R1" s="69"/>
      <c r="S1" s="69"/>
      <c r="T1" s="69"/>
      <c r="U1" s="69"/>
      <c r="V1" s="69"/>
      <c r="W1" s="69"/>
      <c r="X1" s="69"/>
      <c r="Y1" s="69"/>
      <c r="Z1" s="1071" t="s">
        <v>684</v>
      </c>
      <c r="AA1" s="1071"/>
      <c r="AB1" s="1071"/>
      <c r="AC1" s="1071"/>
      <c r="AD1" s="1071"/>
      <c r="AE1" s="1071"/>
    </row>
    <row r="2" spans="1:32" ht="21" customHeight="1">
      <c r="A2" s="1022" t="s">
        <v>685</v>
      </c>
      <c r="B2" s="1022"/>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row>
    <row r="3" spans="1:32" ht="21" customHeight="1">
      <c r="A3" s="1072" t="s">
        <v>626</v>
      </c>
      <c r="B3" s="1072"/>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2"/>
      <c r="AC3" s="1072"/>
      <c r="AD3" s="1072"/>
      <c r="AE3" s="1072"/>
    </row>
    <row r="4" spans="1:32" ht="19.5" customHeight="1">
      <c r="A4" s="43"/>
      <c r="B4" s="610"/>
      <c r="C4" s="51"/>
      <c r="D4" s="51"/>
      <c r="E4" s="51"/>
      <c r="F4" s="51"/>
      <c r="G4" s="51"/>
      <c r="H4" s="51"/>
      <c r="I4" s="51"/>
      <c r="J4" s="51"/>
      <c r="K4" s="51"/>
      <c r="L4" s="51"/>
      <c r="M4" s="51"/>
      <c r="N4" s="51"/>
      <c r="O4" s="51"/>
      <c r="P4" s="51"/>
      <c r="Q4" s="51"/>
      <c r="R4" s="51"/>
      <c r="S4" s="51"/>
      <c r="T4" s="51"/>
      <c r="U4" s="51"/>
      <c r="V4" s="51"/>
      <c r="W4" s="51"/>
      <c r="X4" s="51"/>
      <c r="Y4" s="51"/>
      <c r="Z4" s="1073" t="s">
        <v>2</v>
      </c>
      <c r="AA4" s="1073"/>
      <c r="AB4" s="1073"/>
      <c r="AC4" s="1073"/>
      <c r="AD4" s="1073"/>
      <c r="AE4" s="1073"/>
    </row>
    <row r="5" spans="1:32" s="45" customFormat="1" ht="23.25" customHeight="1">
      <c r="A5" s="1074" t="s">
        <v>3</v>
      </c>
      <c r="B5" s="1074" t="s">
        <v>620</v>
      </c>
      <c r="C5" s="1063" t="s">
        <v>636</v>
      </c>
      <c r="D5" s="1063" t="s">
        <v>637</v>
      </c>
      <c r="E5" s="1069" t="s">
        <v>638</v>
      </c>
      <c r="F5" s="1069"/>
      <c r="G5" s="1069"/>
      <c r="H5" s="1069"/>
      <c r="I5" s="1069"/>
      <c r="J5" s="1069"/>
      <c r="K5" s="1069"/>
      <c r="L5" s="1069"/>
      <c r="M5" s="1069"/>
      <c r="N5" s="1069"/>
      <c r="O5" s="1069"/>
      <c r="P5" s="1069"/>
      <c r="Q5" s="1069"/>
      <c r="R5" s="1069"/>
      <c r="S5" s="1069"/>
      <c r="T5" s="1069"/>
      <c r="U5" s="1069"/>
      <c r="V5" s="1069"/>
      <c r="W5" s="1069"/>
      <c r="X5" s="1063" t="s">
        <v>639</v>
      </c>
      <c r="Y5" s="1063" t="s">
        <v>640</v>
      </c>
      <c r="Z5" s="1069" t="s">
        <v>345</v>
      </c>
      <c r="AA5" s="1069"/>
      <c r="AB5" s="1069"/>
      <c r="AC5" s="1069"/>
      <c r="AD5" s="1069"/>
      <c r="AE5" s="1069"/>
      <c r="AF5" s="1063" t="s">
        <v>686</v>
      </c>
    </row>
    <row r="6" spans="1:32" s="45" customFormat="1" ht="23.25" customHeight="1">
      <c r="A6" s="1075"/>
      <c r="B6" s="1075"/>
      <c r="C6" s="1064"/>
      <c r="D6" s="1064"/>
      <c r="E6" s="1063" t="s">
        <v>641</v>
      </c>
      <c r="F6" s="1063" t="s">
        <v>642</v>
      </c>
      <c r="G6" s="1063" t="s">
        <v>643</v>
      </c>
      <c r="H6" s="1063" t="s">
        <v>644</v>
      </c>
      <c r="I6" s="1063" t="s">
        <v>645</v>
      </c>
      <c r="J6" s="1063" t="s">
        <v>646</v>
      </c>
      <c r="K6" s="1063" t="s">
        <v>647</v>
      </c>
      <c r="L6" s="1063" t="s">
        <v>648</v>
      </c>
      <c r="M6" s="1063" t="s">
        <v>649</v>
      </c>
      <c r="N6" s="1063" t="s">
        <v>650</v>
      </c>
      <c r="O6" s="1063" t="s">
        <v>651</v>
      </c>
      <c r="P6" s="1063" t="s">
        <v>652</v>
      </c>
      <c r="Q6" s="1063" t="s">
        <v>653</v>
      </c>
      <c r="R6" s="1063" t="s">
        <v>654</v>
      </c>
      <c r="S6" s="1063" t="s">
        <v>655</v>
      </c>
      <c r="T6" s="1063" t="s">
        <v>656</v>
      </c>
      <c r="U6" s="1063" t="s">
        <v>657</v>
      </c>
      <c r="V6" s="1063" t="s">
        <v>658</v>
      </c>
      <c r="W6" s="1063" t="s">
        <v>659</v>
      </c>
      <c r="X6" s="1064"/>
      <c r="Y6" s="1064"/>
      <c r="Z6" s="1063" t="s">
        <v>660</v>
      </c>
      <c r="AA6" s="1063" t="s">
        <v>661</v>
      </c>
      <c r="AB6" s="1063" t="s">
        <v>662</v>
      </c>
      <c r="AC6" s="1063" t="s">
        <v>663</v>
      </c>
      <c r="AD6" s="1063" t="s">
        <v>664</v>
      </c>
      <c r="AE6" s="1063" t="s">
        <v>665</v>
      </c>
      <c r="AF6" s="1064"/>
    </row>
    <row r="7" spans="1:32" s="45" customFormat="1" ht="23.25" customHeight="1">
      <c r="A7" s="1075"/>
      <c r="B7" s="1075"/>
      <c r="C7" s="1064"/>
      <c r="D7" s="1064"/>
      <c r="E7" s="1064"/>
      <c r="F7" s="1064"/>
      <c r="G7" s="1064"/>
      <c r="H7" s="1064"/>
      <c r="I7" s="1064"/>
      <c r="J7" s="1064"/>
      <c r="K7" s="1064"/>
      <c r="L7" s="1064"/>
      <c r="M7" s="1064"/>
      <c r="N7" s="1064"/>
      <c r="O7" s="1064"/>
      <c r="P7" s="1064"/>
      <c r="Q7" s="1064"/>
      <c r="R7" s="1064"/>
      <c r="S7" s="1064"/>
      <c r="T7" s="1064"/>
      <c r="U7" s="1064"/>
      <c r="V7" s="1064"/>
      <c r="W7" s="1064"/>
      <c r="X7" s="1064"/>
      <c r="Y7" s="1064"/>
      <c r="Z7" s="1064"/>
      <c r="AA7" s="1064"/>
      <c r="AB7" s="1064"/>
      <c r="AC7" s="1064"/>
      <c r="AD7" s="1064"/>
      <c r="AE7" s="1064"/>
      <c r="AF7" s="1064"/>
    </row>
    <row r="8" spans="1:32" s="45" customFormat="1" ht="23.25" customHeight="1">
      <c r="A8" s="1075"/>
      <c r="B8" s="1075"/>
      <c r="C8" s="1064"/>
      <c r="D8" s="1064"/>
      <c r="E8" s="1064"/>
      <c r="F8" s="1064"/>
      <c r="G8" s="1064"/>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4"/>
      <c r="AF8" s="1064"/>
    </row>
    <row r="9" spans="1:32" s="45" customFormat="1" ht="23.25" customHeight="1">
      <c r="A9" s="1075"/>
      <c r="B9" s="1075"/>
      <c r="C9" s="1064"/>
      <c r="D9" s="1064"/>
      <c r="E9" s="1064"/>
      <c r="F9" s="1064"/>
      <c r="G9" s="1064"/>
      <c r="H9" s="1064"/>
      <c r="I9" s="1064"/>
      <c r="J9" s="1064"/>
      <c r="K9" s="1064"/>
      <c r="L9" s="1064"/>
      <c r="M9" s="1064"/>
      <c r="N9" s="1064"/>
      <c r="O9" s="1064"/>
      <c r="P9" s="1064"/>
      <c r="Q9" s="1064"/>
      <c r="R9" s="1064"/>
      <c r="S9" s="1064"/>
      <c r="T9" s="1064"/>
      <c r="U9" s="1064"/>
      <c r="V9" s="1064"/>
      <c r="W9" s="1064"/>
      <c r="X9" s="1064"/>
      <c r="Y9" s="1064"/>
      <c r="Z9" s="1064"/>
      <c r="AA9" s="1064"/>
      <c r="AB9" s="1064"/>
      <c r="AC9" s="1064"/>
      <c r="AD9" s="1064"/>
      <c r="AE9" s="1064"/>
      <c r="AF9" s="1064"/>
    </row>
    <row r="10" spans="1:32" s="45" customFormat="1" ht="23.25" customHeight="1">
      <c r="A10" s="1075"/>
      <c r="B10" s="1075"/>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row>
    <row r="11" spans="1:32" s="45" customFormat="1" ht="23.25" customHeight="1">
      <c r="A11" s="1075"/>
      <c r="B11" s="1075"/>
      <c r="C11" s="1064"/>
      <c r="D11" s="1064"/>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row>
    <row r="12" spans="1:32" s="45" customFormat="1" ht="23.25" customHeight="1">
      <c r="A12" s="1075"/>
      <c r="B12" s="1075"/>
      <c r="C12" s="1064"/>
      <c r="D12" s="1064"/>
      <c r="E12" s="1064"/>
      <c r="F12" s="1064"/>
      <c r="G12" s="1064"/>
      <c r="H12" s="1064"/>
      <c r="I12" s="1064"/>
      <c r="J12" s="1064"/>
      <c r="K12" s="1064"/>
      <c r="L12" s="1064"/>
      <c r="M12" s="1064"/>
      <c r="N12" s="1064"/>
      <c r="O12" s="1064"/>
      <c r="P12" s="1064"/>
      <c r="Q12" s="1064"/>
      <c r="R12" s="1064"/>
      <c r="S12" s="1064"/>
      <c r="T12" s="1064"/>
      <c r="U12" s="1064"/>
      <c r="V12" s="1064"/>
      <c r="W12" s="1064"/>
      <c r="X12" s="1064"/>
      <c r="Y12" s="1064"/>
      <c r="Z12" s="1064"/>
      <c r="AA12" s="1064"/>
      <c r="AB12" s="1064"/>
      <c r="AC12" s="1064"/>
      <c r="AD12" s="1064"/>
      <c r="AE12" s="1064"/>
      <c r="AF12" s="1064"/>
    </row>
    <row r="13" spans="1:32" s="45" customFormat="1" ht="23.25" customHeight="1">
      <c r="A13" s="1075"/>
      <c r="B13" s="1075"/>
      <c r="C13" s="1064"/>
      <c r="D13" s="1064"/>
      <c r="E13" s="1064"/>
      <c r="F13" s="1064"/>
      <c r="G13" s="1064"/>
      <c r="H13" s="1064"/>
      <c r="I13" s="1064"/>
      <c r="J13" s="1064"/>
      <c r="K13" s="1064"/>
      <c r="L13" s="1064"/>
      <c r="M13" s="1064"/>
      <c r="N13" s="1064"/>
      <c r="O13" s="1064"/>
      <c r="P13" s="1064"/>
      <c r="Q13" s="1064"/>
      <c r="R13" s="1064"/>
      <c r="S13" s="1064"/>
      <c r="T13" s="1064"/>
      <c r="U13" s="1064"/>
      <c r="V13" s="1064"/>
      <c r="W13" s="1064"/>
      <c r="X13" s="1064"/>
      <c r="Y13" s="1064"/>
      <c r="Z13" s="1064"/>
      <c r="AA13" s="1064"/>
      <c r="AB13" s="1064"/>
      <c r="AC13" s="1064"/>
      <c r="AD13" s="1064"/>
      <c r="AE13" s="1064"/>
      <c r="AF13" s="1064"/>
    </row>
    <row r="14" spans="1:32" s="45" customFormat="1" ht="60" customHeight="1">
      <c r="A14" s="1076"/>
      <c r="B14" s="1076"/>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row>
    <row r="15" spans="1:32" s="47" customFormat="1" ht="17.25" customHeight="1">
      <c r="A15" s="46" t="s">
        <v>10</v>
      </c>
      <c r="B15" s="46" t="s">
        <v>11</v>
      </c>
      <c r="C15" s="46">
        <v>1</v>
      </c>
      <c r="D15" s="46">
        <v>2</v>
      </c>
      <c r="E15" s="46">
        <v>3</v>
      </c>
      <c r="F15" s="46">
        <v>4</v>
      </c>
      <c r="G15" s="46">
        <v>5</v>
      </c>
      <c r="H15" s="46">
        <v>6</v>
      </c>
      <c r="I15" s="46">
        <v>7</v>
      </c>
      <c r="J15" s="46">
        <v>8</v>
      </c>
      <c r="K15" s="46">
        <v>9</v>
      </c>
      <c r="L15" s="46">
        <v>10</v>
      </c>
      <c r="M15" s="46">
        <v>11</v>
      </c>
      <c r="N15" s="46">
        <v>12</v>
      </c>
      <c r="O15" s="46">
        <v>13</v>
      </c>
      <c r="P15" s="46">
        <v>14</v>
      </c>
      <c r="Q15" s="46">
        <v>15</v>
      </c>
      <c r="R15" s="46">
        <v>16</v>
      </c>
      <c r="S15" s="46">
        <v>17</v>
      </c>
      <c r="T15" s="46">
        <v>18</v>
      </c>
      <c r="U15" s="46">
        <v>19</v>
      </c>
      <c r="V15" s="46">
        <v>20</v>
      </c>
      <c r="W15" s="46">
        <v>21</v>
      </c>
      <c r="X15" s="46">
        <v>22</v>
      </c>
      <c r="Y15" s="46">
        <v>23</v>
      </c>
      <c r="Z15" s="46">
        <v>24</v>
      </c>
      <c r="AA15" s="46">
        <v>25</v>
      </c>
      <c r="AB15" s="46">
        <v>26</v>
      </c>
      <c r="AC15" s="46">
        <v>27</v>
      </c>
      <c r="AD15" s="46">
        <v>28</v>
      </c>
      <c r="AE15" s="46">
        <v>29</v>
      </c>
      <c r="AF15" s="46">
        <v>30</v>
      </c>
    </row>
    <row r="16" spans="1:32" s="71" customFormat="1" ht="36" customHeight="1">
      <c r="A16" s="48"/>
      <c r="B16" s="49" t="s">
        <v>102</v>
      </c>
      <c r="C16" s="244">
        <v>4425000</v>
      </c>
      <c r="D16" s="244">
        <v>4109000</v>
      </c>
      <c r="E16" s="244">
        <v>788670</v>
      </c>
      <c r="F16" s="244">
        <v>50230</v>
      </c>
      <c r="G16" s="244">
        <v>6000</v>
      </c>
      <c r="H16" s="244">
        <v>1100000</v>
      </c>
      <c r="I16" s="244">
        <v>115200</v>
      </c>
      <c r="J16" s="244">
        <v>152000</v>
      </c>
      <c r="K16" s="244">
        <v>85600</v>
      </c>
      <c r="L16" s="244">
        <v>67100.399999999994</v>
      </c>
      <c r="M16" s="244">
        <v>800</v>
      </c>
      <c r="N16" s="244">
        <v>3800</v>
      </c>
      <c r="O16" s="244">
        <v>26000</v>
      </c>
      <c r="P16" s="244">
        <v>400000</v>
      </c>
      <c r="Q16" s="244">
        <v>2500</v>
      </c>
      <c r="R16" s="244">
        <v>117000</v>
      </c>
      <c r="S16" s="244">
        <v>108400.23449999999</v>
      </c>
      <c r="T16" s="244">
        <v>73000</v>
      </c>
      <c r="U16" s="244">
        <v>700</v>
      </c>
      <c r="V16" s="244">
        <v>12000</v>
      </c>
      <c r="W16" s="244">
        <v>1000000</v>
      </c>
      <c r="X16" s="244">
        <v>0</v>
      </c>
      <c r="Y16" s="244">
        <v>316000</v>
      </c>
      <c r="Z16" s="244">
        <v>309000</v>
      </c>
      <c r="AA16" s="244">
        <v>6000</v>
      </c>
      <c r="AB16" s="244">
        <v>300</v>
      </c>
      <c r="AC16" s="244">
        <v>0</v>
      </c>
      <c r="AD16" s="244">
        <v>0</v>
      </c>
      <c r="AE16" s="244">
        <v>700</v>
      </c>
      <c r="AF16" s="244"/>
    </row>
    <row r="17" spans="1:32" s="51" customFormat="1" ht="36" customHeight="1">
      <c r="A17" s="55">
        <v>1</v>
      </c>
      <c r="B17" s="56" t="s">
        <v>613</v>
      </c>
      <c r="C17" s="245">
        <v>2678170</v>
      </c>
      <c r="D17" s="245">
        <v>2678170</v>
      </c>
      <c r="E17" s="245">
        <v>703000</v>
      </c>
      <c r="F17" s="245">
        <v>9250</v>
      </c>
      <c r="G17" s="245">
        <v>945</v>
      </c>
      <c r="H17" s="245">
        <v>270520</v>
      </c>
      <c r="I17" s="245">
        <v>67720</v>
      </c>
      <c r="J17" s="245">
        <v>109200</v>
      </c>
      <c r="K17" s="245">
        <v>44375</v>
      </c>
      <c r="L17" s="245">
        <v>25000.400000000001</v>
      </c>
      <c r="M17" s="245">
        <v>10</v>
      </c>
      <c r="N17" s="245">
        <v>3065</v>
      </c>
      <c r="O17" s="245">
        <v>13000</v>
      </c>
      <c r="P17" s="245">
        <v>201900</v>
      </c>
      <c r="Q17" s="245">
        <v>2500</v>
      </c>
      <c r="R17" s="245">
        <v>117000</v>
      </c>
      <c r="S17" s="245">
        <v>60165</v>
      </c>
      <c r="T17" s="245">
        <v>44260</v>
      </c>
      <c r="U17" s="245">
        <v>690</v>
      </c>
      <c r="V17" s="245">
        <v>5570</v>
      </c>
      <c r="W17" s="245">
        <v>1000000</v>
      </c>
      <c r="X17" s="245"/>
      <c r="Y17" s="245">
        <v>0</v>
      </c>
      <c r="Z17" s="245"/>
      <c r="AA17" s="245"/>
      <c r="AB17" s="245"/>
      <c r="AC17" s="245"/>
      <c r="AD17" s="245"/>
      <c r="AE17" s="245"/>
      <c r="AF17" s="245"/>
    </row>
    <row r="18" spans="1:32" s="51" customFormat="1" ht="36" customHeight="1">
      <c r="A18" s="55">
        <v>2</v>
      </c>
      <c r="B18" s="56" t="s">
        <v>612</v>
      </c>
      <c r="C18" s="245">
        <v>126620</v>
      </c>
      <c r="D18" s="245">
        <v>126620</v>
      </c>
      <c r="E18" s="245">
        <v>610</v>
      </c>
      <c r="F18" s="245">
        <v>7300</v>
      </c>
      <c r="G18" s="245">
        <v>220</v>
      </c>
      <c r="H18" s="245">
        <v>37200</v>
      </c>
      <c r="I18" s="245">
        <v>9730</v>
      </c>
      <c r="J18" s="245">
        <v>35000</v>
      </c>
      <c r="K18" s="245">
        <v>9000</v>
      </c>
      <c r="L18" s="245">
        <v>3200</v>
      </c>
      <c r="M18" s="245">
        <v>0</v>
      </c>
      <c r="N18" s="245">
        <v>150</v>
      </c>
      <c r="O18" s="245">
        <v>2670</v>
      </c>
      <c r="P18" s="245">
        <v>14000</v>
      </c>
      <c r="Q18" s="245">
        <v>0</v>
      </c>
      <c r="R18" s="245">
        <v>0</v>
      </c>
      <c r="S18" s="245">
        <v>2990.2345</v>
      </c>
      <c r="T18" s="245">
        <v>4550</v>
      </c>
      <c r="U18" s="245">
        <v>0</v>
      </c>
      <c r="V18" s="245">
        <v>0</v>
      </c>
      <c r="W18" s="245">
        <v>0</v>
      </c>
      <c r="X18" s="245"/>
      <c r="Y18" s="245">
        <v>0</v>
      </c>
      <c r="Z18" s="245"/>
      <c r="AA18" s="245"/>
      <c r="AB18" s="245"/>
      <c r="AC18" s="245"/>
      <c r="AD18" s="245"/>
      <c r="AE18" s="245"/>
      <c r="AF18" s="245"/>
    </row>
    <row r="19" spans="1:32" s="51" customFormat="1" ht="36" customHeight="1">
      <c r="A19" s="55">
        <v>3</v>
      </c>
      <c r="B19" s="56" t="s">
        <v>611</v>
      </c>
      <c r="C19" s="245">
        <v>141960</v>
      </c>
      <c r="D19" s="245">
        <v>141960</v>
      </c>
      <c r="E19" s="245">
        <v>1260</v>
      </c>
      <c r="F19" s="245">
        <v>950</v>
      </c>
      <c r="G19" s="245">
        <v>0</v>
      </c>
      <c r="H19" s="245">
        <v>95550</v>
      </c>
      <c r="I19" s="245">
        <v>5200</v>
      </c>
      <c r="J19" s="245">
        <v>7800</v>
      </c>
      <c r="K19" s="245">
        <v>6000</v>
      </c>
      <c r="L19" s="245">
        <v>1860</v>
      </c>
      <c r="M19" s="245">
        <v>0</v>
      </c>
      <c r="N19" s="245">
        <v>140</v>
      </c>
      <c r="O19" s="245">
        <v>1400</v>
      </c>
      <c r="P19" s="245">
        <v>15000</v>
      </c>
      <c r="Q19" s="245">
        <v>0</v>
      </c>
      <c r="R19" s="245">
        <v>0</v>
      </c>
      <c r="S19" s="245">
        <v>2360</v>
      </c>
      <c r="T19" s="245">
        <v>3540</v>
      </c>
      <c r="U19" s="245">
        <v>0</v>
      </c>
      <c r="V19" s="245">
        <v>900</v>
      </c>
      <c r="W19" s="245">
        <v>0</v>
      </c>
      <c r="X19" s="245"/>
      <c r="Y19" s="245">
        <v>0</v>
      </c>
      <c r="Z19" s="245"/>
      <c r="AA19" s="245"/>
      <c r="AB19" s="245"/>
      <c r="AC19" s="245"/>
      <c r="AD19" s="245"/>
      <c r="AE19" s="245"/>
      <c r="AF19" s="245"/>
    </row>
    <row r="20" spans="1:32" s="51" customFormat="1" ht="36" customHeight="1">
      <c r="A20" s="55">
        <v>4</v>
      </c>
      <c r="B20" s="56" t="s">
        <v>610</v>
      </c>
      <c r="C20" s="245">
        <v>499948</v>
      </c>
      <c r="D20" s="245">
        <v>183948</v>
      </c>
      <c r="E20" s="245">
        <v>9300</v>
      </c>
      <c r="F20" s="245">
        <v>1350</v>
      </c>
      <c r="G20" s="245">
        <v>0</v>
      </c>
      <c r="H20" s="245">
        <v>100650</v>
      </c>
      <c r="I20" s="245">
        <v>8700</v>
      </c>
      <c r="J20" s="245">
        <v>0</v>
      </c>
      <c r="K20" s="245">
        <v>8000</v>
      </c>
      <c r="L20" s="245">
        <v>26548</v>
      </c>
      <c r="M20" s="245">
        <v>0</v>
      </c>
      <c r="N20" s="245">
        <v>160</v>
      </c>
      <c r="O20" s="245">
        <v>1650</v>
      </c>
      <c r="P20" s="245">
        <v>20000</v>
      </c>
      <c r="Q20" s="245">
        <v>0</v>
      </c>
      <c r="R20" s="245">
        <v>0</v>
      </c>
      <c r="S20" s="245">
        <v>2290</v>
      </c>
      <c r="T20" s="245">
        <v>5300</v>
      </c>
      <c r="U20" s="245">
        <v>0</v>
      </c>
      <c r="V20" s="245">
        <v>0</v>
      </c>
      <c r="W20" s="245">
        <v>0</v>
      </c>
      <c r="X20" s="245"/>
      <c r="Y20" s="245">
        <v>316000</v>
      </c>
      <c r="Z20" s="245">
        <v>309000</v>
      </c>
      <c r="AA20" s="245">
        <v>6000</v>
      </c>
      <c r="AB20" s="245">
        <v>300</v>
      </c>
      <c r="AC20" s="245"/>
      <c r="AD20" s="245"/>
      <c r="AE20" s="245">
        <v>700</v>
      </c>
      <c r="AF20" s="245"/>
    </row>
    <row r="21" spans="1:32" s="51" customFormat="1" ht="36" customHeight="1">
      <c r="A21" s="55">
        <v>5</v>
      </c>
      <c r="B21" s="56" t="s">
        <v>609</v>
      </c>
      <c r="C21" s="245">
        <v>43690</v>
      </c>
      <c r="D21" s="245">
        <v>43690</v>
      </c>
      <c r="E21" s="245">
        <v>830</v>
      </c>
      <c r="F21" s="245">
        <v>3200</v>
      </c>
      <c r="G21" s="245">
        <v>4500</v>
      </c>
      <c r="H21" s="245">
        <v>18200</v>
      </c>
      <c r="I21" s="245">
        <v>2800</v>
      </c>
      <c r="J21" s="245">
        <v>0</v>
      </c>
      <c r="K21" s="245">
        <v>3200</v>
      </c>
      <c r="L21" s="245">
        <v>3060</v>
      </c>
      <c r="M21" s="245">
        <v>150</v>
      </c>
      <c r="N21" s="245">
        <v>40</v>
      </c>
      <c r="O21" s="245">
        <v>590</v>
      </c>
      <c r="P21" s="245">
        <v>3000</v>
      </c>
      <c r="Q21" s="245">
        <v>0</v>
      </c>
      <c r="R21" s="245">
        <v>0</v>
      </c>
      <c r="S21" s="245">
        <v>1390</v>
      </c>
      <c r="T21" s="245">
        <v>2700</v>
      </c>
      <c r="U21" s="245">
        <v>0</v>
      </c>
      <c r="V21" s="245">
        <v>30</v>
      </c>
      <c r="W21" s="245">
        <v>0</v>
      </c>
      <c r="X21" s="245"/>
      <c r="Y21" s="245">
        <v>0</v>
      </c>
      <c r="Z21" s="245"/>
      <c r="AA21" s="245"/>
      <c r="AB21" s="245"/>
      <c r="AC21" s="245"/>
      <c r="AD21" s="245"/>
      <c r="AE21" s="245"/>
      <c r="AF21" s="245"/>
    </row>
    <row r="22" spans="1:32" s="51" customFormat="1" ht="36" customHeight="1">
      <c r="A22" s="55">
        <v>6</v>
      </c>
      <c r="B22" s="56" t="s">
        <v>608</v>
      </c>
      <c r="C22" s="245">
        <v>151027</v>
      </c>
      <c r="D22" s="245">
        <v>151027</v>
      </c>
      <c r="E22" s="245">
        <v>14760</v>
      </c>
      <c r="F22" s="245">
        <v>650</v>
      </c>
      <c r="G22" s="245">
        <v>0</v>
      </c>
      <c r="H22" s="245">
        <v>91180</v>
      </c>
      <c r="I22" s="245">
        <v>5700</v>
      </c>
      <c r="J22" s="245">
        <v>0</v>
      </c>
      <c r="K22" s="245">
        <v>5225</v>
      </c>
      <c r="L22" s="245">
        <v>3102</v>
      </c>
      <c r="M22" s="245">
        <v>0</v>
      </c>
      <c r="N22" s="245">
        <v>60</v>
      </c>
      <c r="O22" s="245">
        <v>2450</v>
      </c>
      <c r="P22" s="245">
        <v>25000</v>
      </c>
      <c r="Q22" s="245">
        <v>0</v>
      </c>
      <c r="R22" s="245">
        <v>0</v>
      </c>
      <c r="S22" s="245">
        <v>440</v>
      </c>
      <c r="T22" s="245">
        <v>2450</v>
      </c>
      <c r="U22" s="245">
        <v>10</v>
      </c>
      <c r="V22" s="245">
        <v>0</v>
      </c>
      <c r="W22" s="245">
        <v>0</v>
      </c>
      <c r="X22" s="245"/>
      <c r="Y22" s="245">
        <v>0</v>
      </c>
      <c r="Z22" s="245"/>
      <c r="AA22" s="245"/>
      <c r="AB22" s="245"/>
      <c r="AC22" s="245"/>
      <c r="AD22" s="245"/>
      <c r="AE22" s="245"/>
      <c r="AF22" s="245"/>
    </row>
    <row r="23" spans="1:32" s="51" customFormat="1" ht="36" customHeight="1">
      <c r="A23" s="55">
        <v>7</v>
      </c>
      <c r="B23" s="56" t="s">
        <v>607</v>
      </c>
      <c r="C23" s="245">
        <v>96910</v>
      </c>
      <c r="D23" s="245">
        <v>96910</v>
      </c>
      <c r="E23" s="245">
        <v>19500</v>
      </c>
      <c r="F23" s="245">
        <v>19030</v>
      </c>
      <c r="G23" s="245">
        <v>15</v>
      </c>
      <c r="H23" s="245">
        <v>37000</v>
      </c>
      <c r="I23" s="245">
        <v>1500</v>
      </c>
      <c r="J23" s="245">
        <v>0</v>
      </c>
      <c r="K23" s="245">
        <v>1200</v>
      </c>
      <c r="L23" s="245">
        <v>710</v>
      </c>
      <c r="M23" s="245">
        <v>0</v>
      </c>
      <c r="N23" s="245">
        <v>5</v>
      </c>
      <c r="O23" s="245">
        <v>1800</v>
      </c>
      <c r="P23" s="245">
        <v>10000</v>
      </c>
      <c r="Q23" s="245">
        <v>0</v>
      </c>
      <c r="R23" s="245">
        <v>0</v>
      </c>
      <c r="S23" s="245">
        <v>4350</v>
      </c>
      <c r="T23" s="245">
        <v>1800</v>
      </c>
      <c r="U23" s="245">
        <v>0</v>
      </c>
      <c r="V23" s="245">
        <v>0</v>
      </c>
      <c r="W23" s="245">
        <v>0</v>
      </c>
      <c r="X23" s="245"/>
      <c r="Y23" s="245">
        <v>0</v>
      </c>
      <c r="Z23" s="245"/>
      <c r="AA23" s="245"/>
      <c r="AB23" s="245"/>
      <c r="AC23" s="245"/>
      <c r="AD23" s="245"/>
      <c r="AE23" s="245"/>
      <c r="AF23" s="245"/>
    </row>
    <row r="24" spans="1:32" s="51" customFormat="1" ht="36" customHeight="1">
      <c r="A24" s="55">
        <v>8</v>
      </c>
      <c r="B24" s="56" t="s">
        <v>606</v>
      </c>
      <c r="C24" s="245">
        <v>103630</v>
      </c>
      <c r="D24" s="245">
        <v>103630</v>
      </c>
      <c r="E24" s="245">
        <v>360</v>
      </c>
      <c r="F24" s="245">
        <v>1050</v>
      </c>
      <c r="G24" s="245">
        <v>0</v>
      </c>
      <c r="H24" s="245">
        <v>84700</v>
      </c>
      <c r="I24" s="245">
        <v>1900</v>
      </c>
      <c r="J24" s="245">
        <v>0</v>
      </c>
      <c r="K24" s="245">
        <v>2200</v>
      </c>
      <c r="L24" s="245">
        <v>1450</v>
      </c>
      <c r="M24" s="245">
        <v>310</v>
      </c>
      <c r="N24" s="245">
        <v>70</v>
      </c>
      <c r="O24" s="245">
        <v>530</v>
      </c>
      <c r="P24" s="245">
        <v>1000</v>
      </c>
      <c r="Q24" s="245">
        <v>0</v>
      </c>
      <c r="R24" s="245">
        <v>0</v>
      </c>
      <c r="S24" s="245">
        <v>6760</v>
      </c>
      <c r="T24" s="245">
        <v>1800</v>
      </c>
      <c r="U24" s="245">
        <v>0</v>
      </c>
      <c r="V24" s="245">
        <v>1500</v>
      </c>
      <c r="W24" s="245">
        <v>0</v>
      </c>
      <c r="X24" s="245"/>
      <c r="Y24" s="245">
        <v>0</v>
      </c>
      <c r="Z24" s="245"/>
      <c r="AA24" s="245"/>
      <c r="AB24" s="245"/>
      <c r="AC24" s="245"/>
      <c r="AD24" s="245"/>
      <c r="AE24" s="245"/>
      <c r="AF24" s="245"/>
    </row>
    <row r="25" spans="1:32" s="51" customFormat="1" ht="36" customHeight="1">
      <c r="A25" s="55">
        <v>9</v>
      </c>
      <c r="B25" s="56" t="s">
        <v>605</v>
      </c>
      <c r="C25" s="245">
        <v>518895</v>
      </c>
      <c r="D25" s="245">
        <v>518895</v>
      </c>
      <c r="E25" s="245">
        <v>39050</v>
      </c>
      <c r="F25" s="245">
        <v>6750</v>
      </c>
      <c r="G25" s="245">
        <v>320</v>
      </c>
      <c r="H25" s="245">
        <v>315000</v>
      </c>
      <c r="I25" s="245">
        <v>11000</v>
      </c>
      <c r="J25" s="245">
        <v>0</v>
      </c>
      <c r="K25" s="245">
        <v>5200</v>
      </c>
      <c r="L25" s="245">
        <v>1720</v>
      </c>
      <c r="M25" s="245">
        <v>0</v>
      </c>
      <c r="N25" s="245">
        <v>100</v>
      </c>
      <c r="O25" s="245">
        <v>1500</v>
      </c>
      <c r="P25" s="245">
        <v>110000</v>
      </c>
      <c r="Q25" s="245">
        <v>0</v>
      </c>
      <c r="R25" s="245">
        <v>0</v>
      </c>
      <c r="S25" s="245">
        <v>19455</v>
      </c>
      <c r="T25" s="245">
        <v>4800</v>
      </c>
      <c r="U25" s="245">
        <v>0</v>
      </c>
      <c r="V25" s="245">
        <v>4000</v>
      </c>
      <c r="W25" s="245">
        <v>0</v>
      </c>
      <c r="X25" s="245"/>
      <c r="Y25" s="245">
        <v>0</v>
      </c>
      <c r="Z25" s="245"/>
      <c r="AA25" s="245"/>
      <c r="AB25" s="245"/>
      <c r="AC25" s="245"/>
      <c r="AD25" s="245"/>
      <c r="AE25" s="245"/>
      <c r="AF25" s="245"/>
    </row>
    <row r="26" spans="1:32" s="51" customFormat="1" ht="36" customHeight="1">
      <c r="A26" s="55">
        <v>10</v>
      </c>
      <c r="B26" s="56" t="s">
        <v>604</v>
      </c>
      <c r="C26" s="245">
        <v>64150</v>
      </c>
      <c r="D26" s="245">
        <v>64150</v>
      </c>
      <c r="E26" s="245">
        <v>0</v>
      </c>
      <c r="F26" s="245">
        <v>700</v>
      </c>
      <c r="G26" s="245">
        <v>0</v>
      </c>
      <c r="H26" s="245">
        <v>50000</v>
      </c>
      <c r="I26" s="245">
        <v>950</v>
      </c>
      <c r="J26" s="245">
        <v>0</v>
      </c>
      <c r="K26" s="245">
        <v>1200</v>
      </c>
      <c r="L26" s="245">
        <v>450</v>
      </c>
      <c r="M26" s="245">
        <v>330</v>
      </c>
      <c r="N26" s="245">
        <v>10</v>
      </c>
      <c r="O26" s="245">
        <v>410</v>
      </c>
      <c r="P26" s="245">
        <v>100</v>
      </c>
      <c r="Q26" s="245">
        <v>0</v>
      </c>
      <c r="R26" s="245">
        <v>0</v>
      </c>
      <c r="S26" s="245">
        <v>8200</v>
      </c>
      <c r="T26" s="245">
        <v>1800</v>
      </c>
      <c r="U26" s="245">
        <v>0</v>
      </c>
      <c r="V26" s="245">
        <v>0</v>
      </c>
      <c r="W26" s="245">
        <v>0</v>
      </c>
      <c r="X26" s="245"/>
      <c r="Y26" s="245">
        <v>0</v>
      </c>
      <c r="Z26" s="245"/>
      <c r="AA26" s="245"/>
      <c r="AB26" s="245"/>
      <c r="AC26" s="245"/>
      <c r="AD26" s="245"/>
      <c r="AE26" s="245"/>
      <c r="AF26" s="245"/>
    </row>
    <row r="27" spans="1:32" ht="15.95" customHeight="1">
      <c r="A27" s="62"/>
      <c r="B27" s="62"/>
      <c r="C27" s="62"/>
      <c r="D27" s="62"/>
      <c r="E27" s="387"/>
      <c r="F27" s="387"/>
      <c r="G27" s="387"/>
      <c r="H27" s="387"/>
      <c r="I27" s="387"/>
      <c r="J27" s="387"/>
      <c r="K27" s="387"/>
      <c r="L27" s="387"/>
      <c r="M27" s="387"/>
      <c r="N27" s="387"/>
      <c r="O27" s="387"/>
      <c r="P27" s="387"/>
      <c r="Q27" s="387"/>
      <c r="R27" s="387"/>
      <c r="S27" s="387"/>
      <c r="T27" s="387"/>
      <c r="U27" s="387"/>
      <c r="V27" s="387"/>
      <c r="W27" s="387"/>
      <c r="X27" s="62"/>
      <c r="Y27" s="62"/>
      <c r="Z27" s="62"/>
      <c r="AA27" s="62"/>
      <c r="AB27" s="62"/>
      <c r="AC27" s="62"/>
      <c r="AD27" s="62"/>
      <c r="AE27" s="62"/>
      <c r="AF27" s="62"/>
    </row>
    <row r="28" spans="1:32" ht="27" customHeight="1">
      <c r="A28" s="64" t="s">
        <v>603</v>
      </c>
      <c r="B28" s="246"/>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row>
    <row r="29" spans="1:32" ht="14.25" customHeight="1">
      <c r="B29" s="64" t="s">
        <v>666</v>
      </c>
      <c r="C29" s="246"/>
    </row>
    <row r="30" spans="1:32" ht="20.25" customHeight="1">
      <c r="B30" s="64" t="s">
        <v>667</v>
      </c>
      <c r="C30" s="64"/>
    </row>
    <row r="31" spans="1:32" ht="18.75">
      <c r="A31" s="51"/>
      <c r="B31" s="64" t="s">
        <v>687</v>
      </c>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row>
    <row r="32" spans="1:32" ht="18.7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row>
    <row r="33" spans="1:31" ht="18.7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1" ht="18.75">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row>
    <row r="35" spans="1:31" ht="18.75">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row>
    <row r="36" spans="1:31" ht="18.75">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row>
    <row r="37" spans="1:31" ht="18.75">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row>
    <row r="38" spans="1:31" ht="18.7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row>
    <row r="39" spans="1:31" ht="22.5" customHeight="1">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row>
    <row r="40" spans="1:31" ht="18.75">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row>
    <row r="41" spans="1:31" ht="18.75">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row>
    <row r="42" spans="1:31" ht="18.75">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row>
    <row r="43" spans="1:31" ht="18.75">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row>
  </sheetData>
  <mergeCells count="38">
    <mergeCell ref="Z1:AE1"/>
    <mergeCell ref="A2:AE2"/>
    <mergeCell ref="A3:AE3"/>
    <mergeCell ref="Z4:AE4"/>
    <mergeCell ref="A5:A14"/>
    <mergeCell ref="B5:B14"/>
    <mergeCell ref="C5:C14"/>
    <mergeCell ref="D5:D14"/>
    <mergeCell ref="E5:W5"/>
    <mergeCell ref="X5:X14"/>
    <mergeCell ref="Q6:Q14"/>
    <mergeCell ref="Y5:Y14"/>
    <mergeCell ref="Z5:AE5"/>
    <mergeCell ref="T6:T14"/>
    <mergeCell ref="U6:U14"/>
    <mergeCell ref="V6:V14"/>
    <mergeCell ref="AF5:AF14"/>
    <mergeCell ref="E6:E14"/>
    <mergeCell ref="F6:F14"/>
    <mergeCell ref="G6:G14"/>
    <mergeCell ref="H6:H14"/>
    <mergeCell ref="I6:I14"/>
    <mergeCell ref="J6:J14"/>
    <mergeCell ref="K6:K14"/>
    <mergeCell ref="L6:L14"/>
    <mergeCell ref="M6:M14"/>
    <mergeCell ref="N6:N14"/>
    <mergeCell ref="O6:O14"/>
    <mergeCell ref="P6:P14"/>
    <mergeCell ref="AE6:AE14"/>
    <mergeCell ref="R6:R14"/>
    <mergeCell ref="S6:S14"/>
    <mergeCell ref="AD6:AD14"/>
    <mergeCell ref="W6:W14"/>
    <mergeCell ref="Z6:Z14"/>
    <mergeCell ref="AA6:AA14"/>
    <mergeCell ref="AB6:AB14"/>
    <mergeCell ref="AC6:AC14"/>
  </mergeCells>
  <printOptions horizontalCentered="1"/>
  <pageMargins left="0.31496062992125984" right="0.35433070866141736" top="0.51181102362204722" bottom="0.43307086614173229" header="0.27559055118110237" footer="0.19685039370078741"/>
  <pageSetup paperSize="9" scale="36" fitToHeight="0" orientation="landscape" r:id="rId1"/>
  <headerFooter alignWithMargins="0">
    <oddFooter>&amp;C&amp;".VnTime,  Italic"&amp;8
&amp;".VnTimeH,Regular"&amp;12&amp;P/&amp;N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112"/>
  <sheetViews>
    <sheetView showZeros="0" zoomScale="70" zoomScaleNormal="70" zoomScalePageLayoutView="70" workbookViewId="0">
      <pane xSplit="2" ySplit="9" topLeftCell="C92" activePane="bottomRight" state="frozen"/>
      <selection activeCell="A40" sqref="A40:XFD41"/>
      <selection pane="topRight" activeCell="A40" sqref="A40:XFD41"/>
      <selection pane="bottomLeft" activeCell="A40" sqref="A40:XFD41"/>
      <selection pane="bottomRight" activeCell="A40" sqref="A40:XFD41"/>
    </sheetView>
  </sheetViews>
  <sheetFormatPr defaultRowHeight="18.75"/>
  <cols>
    <col min="1" max="1" width="9" style="549" customWidth="1"/>
    <col min="2" max="2" width="83" style="549" customWidth="1"/>
    <col min="3" max="8" width="15.140625" style="208" customWidth="1"/>
    <col min="9" max="9" width="14.42578125" style="208" customWidth="1"/>
    <col min="10" max="10" width="13.42578125" style="208" customWidth="1"/>
    <col min="11" max="11" width="13.85546875" style="208" customWidth="1"/>
    <col min="12" max="12" width="13.5703125" style="549" bestFit="1" customWidth="1"/>
    <col min="13" max="256" width="9.140625" style="549"/>
    <col min="257" max="257" width="9" style="549" customWidth="1"/>
    <col min="258" max="258" width="83" style="549" customWidth="1"/>
    <col min="259" max="264" width="15.140625" style="549" customWidth="1"/>
    <col min="265" max="265" width="14.42578125" style="549" customWidth="1"/>
    <col min="266" max="266" width="13.42578125" style="549" customWidth="1"/>
    <col min="267" max="267" width="13.85546875" style="549" customWidth="1"/>
    <col min="268" max="268" width="13.28515625" style="549" bestFit="1" customWidth="1"/>
    <col min="269" max="512" width="9.140625" style="549"/>
    <col min="513" max="513" width="9" style="549" customWidth="1"/>
    <col min="514" max="514" width="83" style="549" customWidth="1"/>
    <col min="515" max="520" width="15.140625" style="549" customWidth="1"/>
    <col min="521" max="521" width="14.42578125" style="549" customWidth="1"/>
    <col min="522" max="522" width="13.42578125" style="549" customWidth="1"/>
    <col min="523" max="523" width="13.85546875" style="549" customWidth="1"/>
    <col min="524" max="524" width="13.28515625" style="549" bestFit="1" customWidth="1"/>
    <col min="525" max="768" width="9.140625" style="549"/>
    <col min="769" max="769" width="9" style="549" customWidth="1"/>
    <col min="770" max="770" width="83" style="549" customWidth="1"/>
    <col min="771" max="776" width="15.140625" style="549" customWidth="1"/>
    <col min="777" max="777" width="14.42578125" style="549" customWidth="1"/>
    <col min="778" max="778" width="13.42578125" style="549" customWidth="1"/>
    <col min="779" max="779" width="13.85546875" style="549" customWidth="1"/>
    <col min="780" max="780" width="13.28515625" style="549" bestFit="1" customWidth="1"/>
    <col min="781" max="1024" width="9.140625" style="549"/>
    <col min="1025" max="1025" width="9" style="549" customWidth="1"/>
    <col min="1026" max="1026" width="83" style="549" customWidth="1"/>
    <col min="1027" max="1032" width="15.140625" style="549" customWidth="1"/>
    <col min="1033" max="1033" width="14.42578125" style="549" customWidth="1"/>
    <col min="1034" max="1034" width="13.42578125" style="549" customWidth="1"/>
    <col min="1035" max="1035" width="13.85546875" style="549" customWidth="1"/>
    <col min="1036" max="1036" width="13.28515625" style="549" bestFit="1" customWidth="1"/>
    <col min="1037" max="1280" width="9.140625" style="549"/>
    <col min="1281" max="1281" width="9" style="549" customWidth="1"/>
    <col min="1282" max="1282" width="83" style="549" customWidth="1"/>
    <col min="1283" max="1288" width="15.140625" style="549" customWidth="1"/>
    <col min="1289" max="1289" width="14.42578125" style="549" customWidth="1"/>
    <col min="1290" max="1290" width="13.42578125" style="549" customWidth="1"/>
    <col min="1291" max="1291" width="13.85546875" style="549" customWidth="1"/>
    <col min="1292" max="1292" width="13.28515625" style="549" bestFit="1" customWidth="1"/>
    <col min="1293" max="1536" width="9.140625" style="549"/>
    <col min="1537" max="1537" width="9" style="549" customWidth="1"/>
    <col min="1538" max="1538" width="83" style="549" customWidth="1"/>
    <col min="1539" max="1544" width="15.140625" style="549" customWidth="1"/>
    <col min="1545" max="1545" width="14.42578125" style="549" customWidth="1"/>
    <col min="1546" max="1546" width="13.42578125" style="549" customWidth="1"/>
    <col min="1547" max="1547" width="13.85546875" style="549" customWidth="1"/>
    <col min="1548" max="1548" width="13.28515625" style="549" bestFit="1" customWidth="1"/>
    <col min="1549" max="1792" width="9.140625" style="549"/>
    <col min="1793" max="1793" width="9" style="549" customWidth="1"/>
    <col min="1794" max="1794" width="83" style="549" customWidth="1"/>
    <col min="1795" max="1800" width="15.140625" style="549" customWidth="1"/>
    <col min="1801" max="1801" width="14.42578125" style="549" customWidth="1"/>
    <col min="1802" max="1802" width="13.42578125" style="549" customWidth="1"/>
    <col min="1803" max="1803" width="13.85546875" style="549" customWidth="1"/>
    <col min="1804" max="1804" width="13.28515625" style="549" bestFit="1" customWidth="1"/>
    <col min="1805" max="2048" width="9.140625" style="549"/>
    <col min="2049" max="2049" width="9" style="549" customWidth="1"/>
    <col min="2050" max="2050" width="83" style="549" customWidth="1"/>
    <col min="2051" max="2056" width="15.140625" style="549" customWidth="1"/>
    <col min="2057" max="2057" width="14.42578125" style="549" customWidth="1"/>
    <col min="2058" max="2058" width="13.42578125" style="549" customWidth="1"/>
    <col min="2059" max="2059" width="13.85546875" style="549" customWidth="1"/>
    <col min="2060" max="2060" width="13.28515625" style="549" bestFit="1" customWidth="1"/>
    <col min="2061" max="2304" width="9.140625" style="549"/>
    <col min="2305" max="2305" width="9" style="549" customWidth="1"/>
    <col min="2306" max="2306" width="83" style="549" customWidth="1"/>
    <col min="2307" max="2312" width="15.140625" style="549" customWidth="1"/>
    <col min="2313" max="2313" width="14.42578125" style="549" customWidth="1"/>
    <col min="2314" max="2314" width="13.42578125" style="549" customWidth="1"/>
    <col min="2315" max="2315" width="13.85546875" style="549" customWidth="1"/>
    <col min="2316" max="2316" width="13.28515625" style="549" bestFit="1" customWidth="1"/>
    <col min="2317" max="2560" width="9.140625" style="549"/>
    <col min="2561" max="2561" width="9" style="549" customWidth="1"/>
    <col min="2562" max="2562" width="83" style="549" customWidth="1"/>
    <col min="2563" max="2568" width="15.140625" style="549" customWidth="1"/>
    <col min="2569" max="2569" width="14.42578125" style="549" customWidth="1"/>
    <col min="2570" max="2570" width="13.42578125" style="549" customWidth="1"/>
    <col min="2571" max="2571" width="13.85546875" style="549" customWidth="1"/>
    <col min="2572" max="2572" width="13.28515625" style="549" bestFit="1" customWidth="1"/>
    <col min="2573" max="2816" width="9.140625" style="549"/>
    <col min="2817" max="2817" width="9" style="549" customWidth="1"/>
    <col min="2818" max="2818" width="83" style="549" customWidth="1"/>
    <col min="2819" max="2824" width="15.140625" style="549" customWidth="1"/>
    <col min="2825" max="2825" width="14.42578125" style="549" customWidth="1"/>
    <col min="2826" max="2826" width="13.42578125" style="549" customWidth="1"/>
    <col min="2827" max="2827" width="13.85546875" style="549" customWidth="1"/>
    <col min="2828" max="2828" width="13.28515625" style="549" bestFit="1" customWidth="1"/>
    <col min="2829" max="3072" width="9.140625" style="549"/>
    <col min="3073" max="3073" width="9" style="549" customWidth="1"/>
    <col min="3074" max="3074" width="83" style="549" customWidth="1"/>
    <col min="3075" max="3080" width="15.140625" style="549" customWidth="1"/>
    <col min="3081" max="3081" width="14.42578125" style="549" customWidth="1"/>
    <col min="3082" max="3082" width="13.42578125" style="549" customWidth="1"/>
    <col min="3083" max="3083" width="13.85546875" style="549" customWidth="1"/>
    <col min="3084" max="3084" width="13.28515625" style="549" bestFit="1" customWidth="1"/>
    <col min="3085" max="3328" width="9.140625" style="549"/>
    <col min="3329" max="3329" width="9" style="549" customWidth="1"/>
    <col min="3330" max="3330" width="83" style="549" customWidth="1"/>
    <col min="3331" max="3336" width="15.140625" style="549" customWidth="1"/>
    <col min="3337" max="3337" width="14.42578125" style="549" customWidth="1"/>
    <col min="3338" max="3338" width="13.42578125" style="549" customWidth="1"/>
    <col min="3339" max="3339" width="13.85546875" style="549" customWidth="1"/>
    <col min="3340" max="3340" width="13.28515625" style="549" bestFit="1" customWidth="1"/>
    <col min="3341" max="3584" width="9.140625" style="549"/>
    <col min="3585" max="3585" width="9" style="549" customWidth="1"/>
    <col min="3586" max="3586" width="83" style="549" customWidth="1"/>
    <col min="3587" max="3592" width="15.140625" style="549" customWidth="1"/>
    <col min="3593" max="3593" width="14.42578125" style="549" customWidth="1"/>
    <col min="3594" max="3594" width="13.42578125" style="549" customWidth="1"/>
    <col min="3595" max="3595" width="13.85546875" style="549" customWidth="1"/>
    <col min="3596" max="3596" width="13.28515625" style="549" bestFit="1" customWidth="1"/>
    <col min="3597" max="3840" width="9.140625" style="549"/>
    <col min="3841" max="3841" width="9" style="549" customWidth="1"/>
    <col min="3842" max="3842" width="83" style="549" customWidth="1"/>
    <col min="3843" max="3848" width="15.140625" style="549" customWidth="1"/>
    <col min="3849" max="3849" width="14.42578125" style="549" customWidth="1"/>
    <col min="3850" max="3850" width="13.42578125" style="549" customWidth="1"/>
    <col min="3851" max="3851" width="13.85546875" style="549" customWidth="1"/>
    <col min="3852" max="3852" width="13.28515625" style="549" bestFit="1" customWidth="1"/>
    <col min="3853" max="4096" width="9.140625" style="549"/>
    <col min="4097" max="4097" width="9" style="549" customWidth="1"/>
    <col min="4098" max="4098" width="83" style="549" customWidth="1"/>
    <col min="4099" max="4104" width="15.140625" style="549" customWidth="1"/>
    <col min="4105" max="4105" width="14.42578125" style="549" customWidth="1"/>
    <col min="4106" max="4106" width="13.42578125" style="549" customWidth="1"/>
    <col min="4107" max="4107" width="13.85546875" style="549" customWidth="1"/>
    <col min="4108" max="4108" width="13.28515625" style="549" bestFit="1" customWidth="1"/>
    <col min="4109" max="4352" width="9.140625" style="549"/>
    <col min="4353" max="4353" width="9" style="549" customWidth="1"/>
    <col min="4354" max="4354" width="83" style="549" customWidth="1"/>
    <col min="4355" max="4360" width="15.140625" style="549" customWidth="1"/>
    <col min="4361" max="4361" width="14.42578125" style="549" customWidth="1"/>
    <col min="4362" max="4362" width="13.42578125" style="549" customWidth="1"/>
    <col min="4363" max="4363" width="13.85546875" style="549" customWidth="1"/>
    <col min="4364" max="4364" width="13.28515625" style="549" bestFit="1" customWidth="1"/>
    <col min="4365" max="4608" width="9.140625" style="549"/>
    <col min="4609" max="4609" width="9" style="549" customWidth="1"/>
    <col min="4610" max="4610" width="83" style="549" customWidth="1"/>
    <col min="4611" max="4616" width="15.140625" style="549" customWidth="1"/>
    <col min="4617" max="4617" width="14.42578125" style="549" customWidth="1"/>
    <col min="4618" max="4618" width="13.42578125" style="549" customWidth="1"/>
    <col min="4619" max="4619" width="13.85546875" style="549" customWidth="1"/>
    <col min="4620" max="4620" width="13.28515625" style="549" bestFit="1" customWidth="1"/>
    <col min="4621" max="4864" width="9.140625" style="549"/>
    <col min="4865" max="4865" width="9" style="549" customWidth="1"/>
    <col min="4866" max="4866" width="83" style="549" customWidth="1"/>
    <col min="4867" max="4872" width="15.140625" style="549" customWidth="1"/>
    <col min="4873" max="4873" width="14.42578125" style="549" customWidth="1"/>
    <col min="4874" max="4874" width="13.42578125" style="549" customWidth="1"/>
    <col min="4875" max="4875" width="13.85546875" style="549" customWidth="1"/>
    <col min="4876" max="4876" width="13.28515625" style="549" bestFit="1" customWidth="1"/>
    <col min="4877" max="5120" width="9.140625" style="549"/>
    <col min="5121" max="5121" width="9" style="549" customWidth="1"/>
    <col min="5122" max="5122" width="83" style="549" customWidth="1"/>
    <col min="5123" max="5128" width="15.140625" style="549" customWidth="1"/>
    <col min="5129" max="5129" width="14.42578125" style="549" customWidth="1"/>
    <col min="5130" max="5130" width="13.42578125" style="549" customWidth="1"/>
    <col min="5131" max="5131" width="13.85546875" style="549" customWidth="1"/>
    <col min="5132" max="5132" width="13.28515625" style="549" bestFit="1" customWidth="1"/>
    <col min="5133" max="5376" width="9.140625" style="549"/>
    <col min="5377" max="5377" width="9" style="549" customWidth="1"/>
    <col min="5378" max="5378" width="83" style="549" customWidth="1"/>
    <col min="5379" max="5384" width="15.140625" style="549" customWidth="1"/>
    <col min="5385" max="5385" width="14.42578125" style="549" customWidth="1"/>
    <col min="5386" max="5386" width="13.42578125" style="549" customWidth="1"/>
    <col min="5387" max="5387" width="13.85546875" style="549" customWidth="1"/>
    <col min="5388" max="5388" width="13.28515625" style="549" bestFit="1" customWidth="1"/>
    <col min="5389" max="5632" width="9.140625" style="549"/>
    <col min="5633" max="5633" width="9" style="549" customWidth="1"/>
    <col min="5634" max="5634" width="83" style="549" customWidth="1"/>
    <col min="5635" max="5640" width="15.140625" style="549" customWidth="1"/>
    <col min="5641" max="5641" width="14.42578125" style="549" customWidth="1"/>
    <col min="5642" max="5642" width="13.42578125" style="549" customWidth="1"/>
    <col min="5643" max="5643" width="13.85546875" style="549" customWidth="1"/>
    <col min="5644" max="5644" width="13.28515625" style="549" bestFit="1" customWidth="1"/>
    <col min="5645" max="5888" width="9.140625" style="549"/>
    <col min="5889" max="5889" width="9" style="549" customWidth="1"/>
    <col min="5890" max="5890" width="83" style="549" customWidth="1"/>
    <col min="5891" max="5896" width="15.140625" style="549" customWidth="1"/>
    <col min="5897" max="5897" width="14.42578125" style="549" customWidth="1"/>
    <col min="5898" max="5898" width="13.42578125" style="549" customWidth="1"/>
    <col min="5899" max="5899" width="13.85546875" style="549" customWidth="1"/>
    <col min="5900" max="5900" width="13.28515625" style="549" bestFit="1" customWidth="1"/>
    <col min="5901" max="6144" width="9.140625" style="549"/>
    <col min="6145" max="6145" width="9" style="549" customWidth="1"/>
    <col min="6146" max="6146" width="83" style="549" customWidth="1"/>
    <col min="6147" max="6152" width="15.140625" style="549" customWidth="1"/>
    <col min="6153" max="6153" width="14.42578125" style="549" customWidth="1"/>
    <col min="6154" max="6154" width="13.42578125" style="549" customWidth="1"/>
    <col min="6155" max="6155" width="13.85546875" style="549" customWidth="1"/>
    <col min="6156" max="6156" width="13.28515625" style="549" bestFit="1" customWidth="1"/>
    <col min="6157" max="6400" width="9.140625" style="549"/>
    <col min="6401" max="6401" width="9" style="549" customWidth="1"/>
    <col min="6402" max="6402" width="83" style="549" customWidth="1"/>
    <col min="6403" max="6408" width="15.140625" style="549" customWidth="1"/>
    <col min="6409" max="6409" width="14.42578125" style="549" customWidth="1"/>
    <col min="6410" max="6410" width="13.42578125" style="549" customWidth="1"/>
    <col min="6411" max="6411" width="13.85546875" style="549" customWidth="1"/>
    <col min="6412" max="6412" width="13.28515625" style="549" bestFit="1" customWidth="1"/>
    <col min="6413" max="6656" width="9.140625" style="549"/>
    <col min="6657" max="6657" width="9" style="549" customWidth="1"/>
    <col min="6658" max="6658" width="83" style="549" customWidth="1"/>
    <col min="6659" max="6664" width="15.140625" style="549" customWidth="1"/>
    <col min="6665" max="6665" width="14.42578125" style="549" customWidth="1"/>
    <col min="6666" max="6666" width="13.42578125" style="549" customWidth="1"/>
    <col min="6667" max="6667" width="13.85546875" style="549" customWidth="1"/>
    <col min="6668" max="6668" width="13.28515625" style="549" bestFit="1" customWidth="1"/>
    <col min="6669" max="6912" width="9.140625" style="549"/>
    <col min="6913" max="6913" width="9" style="549" customWidth="1"/>
    <col min="6914" max="6914" width="83" style="549" customWidth="1"/>
    <col min="6915" max="6920" width="15.140625" style="549" customWidth="1"/>
    <col min="6921" max="6921" width="14.42578125" style="549" customWidth="1"/>
    <col min="6922" max="6922" width="13.42578125" style="549" customWidth="1"/>
    <col min="6923" max="6923" width="13.85546875" style="549" customWidth="1"/>
    <col min="6924" max="6924" width="13.28515625" style="549" bestFit="1" customWidth="1"/>
    <col min="6925" max="7168" width="9.140625" style="549"/>
    <col min="7169" max="7169" width="9" style="549" customWidth="1"/>
    <col min="7170" max="7170" width="83" style="549" customWidth="1"/>
    <col min="7171" max="7176" width="15.140625" style="549" customWidth="1"/>
    <col min="7177" max="7177" width="14.42578125" style="549" customWidth="1"/>
    <col min="7178" max="7178" width="13.42578125" style="549" customWidth="1"/>
    <col min="7179" max="7179" width="13.85546875" style="549" customWidth="1"/>
    <col min="7180" max="7180" width="13.28515625" style="549" bestFit="1" customWidth="1"/>
    <col min="7181" max="7424" width="9.140625" style="549"/>
    <col min="7425" max="7425" width="9" style="549" customWidth="1"/>
    <col min="7426" max="7426" width="83" style="549" customWidth="1"/>
    <col min="7427" max="7432" width="15.140625" style="549" customWidth="1"/>
    <col min="7433" max="7433" width="14.42578125" style="549" customWidth="1"/>
    <col min="7434" max="7434" width="13.42578125" style="549" customWidth="1"/>
    <col min="7435" max="7435" width="13.85546875" style="549" customWidth="1"/>
    <col min="7436" max="7436" width="13.28515625" style="549" bestFit="1" customWidth="1"/>
    <col min="7437" max="7680" width="9.140625" style="549"/>
    <col min="7681" max="7681" width="9" style="549" customWidth="1"/>
    <col min="7682" max="7682" width="83" style="549" customWidth="1"/>
    <col min="7683" max="7688" width="15.140625" style="549" customWidth="1"/>
    <col min="7689" max="7689" width="14.42578125" style="549" customWidth="1"/>
    <col min="7690" max="7690" width="13.42578125" style="549" customWidth="1"/>
    <col min="7691" max="7691" width="13.85546875" style="549" customWidth="1"/>
    <col min="7692" max="7692" width="13.28515625" style="549" bestFit="1" customWidth="1"/>
    <col min="7693" max="7936" width="9.140625" style="549"/>
    <col min="7937" max="7937" width="9" style="549" customWidth="1"/>
    <col min="7938" max="7938" width="83" style="549" customWidth="1"/>
    <col min="7939" max="7944" width="15.140625" style="549" customWidth="1"/>
    <col min="7945" max="7945" width="14.42578125" style="549" customWidth="1"/>
    <col min="7946" max="7946" width="13.42578125" style="549" customWidth="1"/>
    <col min="7947" max="7947" width="13.85546875" style="549" customWidth="1"/>
    <col min="7948" max="7948" width="13.28515625" style="549" bestFit="1" customWidth="1"/>
    <col min="7949" max="8192" width="9.140625" style="549"/>
    <col min="8193" max="8193" width="9" style="549" customWidth="1"/>
    <col min="8194" max="8194" width="83" style="549" customWidth="1"/>
    <col min="8195" max="8200" width="15.140625" style="549" customWidth="1"/>
    <col min="8201" max="8201" width="14.42578125" style="549" customWidth="1"/>
    <col min="8202" max="8202" width="13.42578125" style="549" customWidth="1"/>
    <col min="8203" max="8203" width="13.85546875" style="549" customWidth="1"/>
    <col min="8204" max="8204" width="13.28515625" style="549" bestFit="1" customWidth="1"/>
    <col min="8205" max="8448" width="9.140625" style="549"/>
    <col min="8449" max="8449" width="9" style="549" customWidth="1"/>
    <col min="8450" max="8450" width="83" style="549" customWidth="1"/>
    <col min="8451" max="8456" width="15.140625" style="549" customWidth="1"/>
    <col min="8457" max="8457" width="14.42578125" style="549" customWidth="1"/>
    <col min="8458" max="8458" width="13.42578125" style="549" customWidth="1"/>
    <col min="8459" max="8459" width="13.85546875" style="549" customWidth="1"/>
    <col min="8460" max="8460" width="13.28515625" style="549" bestFit="1" customWidth="1"/>
    <col min="8461" max="8704" width="9.140625" style="549"/>
    <col min="8705" max="8705" width="9" style="549" customWidth="1"/>
    <col min="8706" max="8706" width="83" style="549" customWidth="1"/>
    <col min="8707" max="8712" width="15.140625" style="549" customWidth="1"/>
    <col min="8713" max="8713" width="14.42578125" style="549" customWidth="1"/>
    <col min="8714" max="8714" width="13.42578125" style="549" customWidth="1"/>
    <col min="8715" max="8715" width="13.85546875" style="549" customWidth="1"/>
    <col min="8716" max="8716" width="13.28515625" style="549" bestFit="1" customWidth="1"/>
    <col min="8717" max="8960" width="9.140625" style="549"/>
    <col min="8961" max="8961" width="9" style="549" customWidth="1"/>
    <col min="8962" max="8962" width="83" style="549" customWidth="1"/>
    <col min="8963" max="8968" width="15.140625" style="549" customWidth="1"/>
    <col min="8969" max="8969" width="14.42578125" style="549" customWidth="1"/>
    <col min="8970" max="8970" width="13.42578125" style="549" customWidth="1"/>
    <col min="8971" max="8971" width="13.85546875" style="549" customWidth="1"/>
    <col min="8972" max="8972" width="13.28515625" style="549" bestFit="1" customWidth="1"/>
    <col min="8973" max="9216" width="9.140625" style="549"/>
    <col min="9217" max="9217" width="9" style="549" customWidth="1"/>
    <col min="9218" max="9218" width="83" style="549" customWidth="1"/>
    <col min="9219" max="9224" width="15.140625" style="549" customWidth="1"/>
    <col min="9225" max="9225" width="14.42578125" style="549" customWidth="1"/>
    <col min="9226" max="9226" width="13.42578125" style="549" customWidth="1"/>
    <col min="9227" max="9227" width="13.85546875" style="549" customWidth="1"/>
    <col min="9228" max="9228" width="13.28515625" style="549" bestFit="1" customWidth="1"/>
    <col min="9229" max="9472" width="9.140625" style="549"/>
    <col min="9473" max="9473" width="9" style="549" customWidth="1"/>
    <col min="9474" max="9474" width="83" style="549" customWidth="1"/>
    <col min="9475" max="9480" width="15.140625" style="549" customWidth="1"/>
    <col min="9481" max="9481" width="14.42578125" style="549" customWidth="1"/>
    <col min="9482" max="9482" width="13.42578125" style="549" customWidth="1"/>
    <col min="9483" max="9483" width="13.85546875" style="549" customWidth="1"/>
    <col min="9484" max="9484" width="13.28515625" style="549" bestFit="1" customWidth="1"/>
    <col min="9485" max="9728" width="9.140625" style="549"/>
    <col min="9729" max="9729" width="9" style="549" customWidth="1"/>
    <col min="9730" max="9730" width="83" style="549" customWidth="1"/>
    <col min="9731" max="9736" width="15.140625" style="549" customWidth="1"/>
    <col min="9737" max="9737" width="14.42578125" style="549" customWidth="1"/>
    <col min="9738" max="9738" width="13.42578125" style="549" customWidth="1"/>
    <col min="9739" max="9739" width="13.85546875" style="549" customWidth="1"/>
    <col min="9740" max="9740" width="13.28515625" style="549" bestFit="1" customWidth="1"/>
    <col min="9741" max="9984" width="9.140625" style="549"/>
    <col min="9985" max="9985" width="9" style="549" customWidth="1"/>
    <col min="9986" max="9986" width="83" style="549" customWidth="1"/>
    <col min="9987" max="9992" width="15.140625" style="549" customWidth="1"/>
    <col min="9993" max="9993" width="14.42578125" style="549" customWidth="1"/>
    <col min="9994" max="9994" width="13.42578125" style="549" customWidth="1"/>
    <col min="9995" max="9995" width="13.85546875" style="549" customWidth="1"/>
    <col min="9996" max="9996" width="13.28515625" style="549" bestFit="1" customWidth="1"/>
    <col min="9997" max="10240" width="9.140625" style="549"/>
    <col min="10241" max="10241" width="9" style="549" customWidth="1"/>
    <col min="10242" max="10242" width="83" style="549" customWidth="1"/>
    <col min="10243" max="10248" width="15.140625" style="549" customWidth="1"/>
    <col min="10249" max="10249" width="14.42578125" style="549" customWidth="1"/>
    <col min="10250" max="10250" width="13.42578125" style="549" customWidth="1"/>
    <col min="10251" max="10251" width="13.85546875" style="549" customWidth="1"/>
    <col min="10252" max="10252" width="13.28515625" style="549" bestFit="1" customWidth="1"/>
    <col min="10253" max="10496" width="9.140625" style="549"/>
    <col min="10497" max="10497" width="9" style="549" customWidth="1"/>
    <col min="10498" max="10498" width="83" style="549" customWidth="1"/>
    <col min="10499" max="10504" width="15.140625" style="549" customWidth="1"/>
    <col min="10505" max="10505" width="14.42578125" style="549" customWidth="1"/>
    <col min="10506" max="10506" width="13.42578125" style="549" customWidth="1"/>
    <col min="10507" max="10507" width="13.85546875" style="549" customWidth="1"/>
    <col min="10508" max="10508" width="13.28515625" style="549" bestFit="1" customWidth="1"/>
    <col min="10509" max="10752" width="9.140625" style="549"/>
    <col min="10753" max="10753" width="9" style="549" customWidth="1"/>
    <col min="10754" max="10754" width="83" style="549" customWidth="1"/>
    <col min="10755" max="10760" width="15.140625" style="549" customWidth="1"/>
    <col min="10761" max="10761" width="14.42578125" style="549" customWidth="1"/>
    <col min="10762" max="10762" width="13.42578125" style="549" customWidth="1"/>
    <col min="10763" max="10763" width="13.85546875" style="549" customWidth="1"/>
    <col min="10764" max="10764" width="13.28515625" style="549" bestFit="1" customWidth="1"/>
    <col min="10765" max="11008" width="9.140625" style="549"/>
    <col min="11009" max="11009" width="9" style="549" customWidth="1"/>
    <col min="11010" max="11010" width="83" style="549" customWidth="1"/>
    <col min="11011" max="11016" width="15.140625" style="549" customWidth="1"/>
    <col min="11017" max="11017" width="14.42578125" style="549" customWidth="1"/>
    <col min="11018" max="11018" width="13.42578125" style="549" customWidth="1"/>
    <col min="11019" max="11019" width="13.85546875" style="549" customWidth="1"/>
    <col min="11020" max="11020" width="13.28515625" style="549" bestFit="1" customWidth="1"/>
    <col min="11021" max="11264" width="9.140625" style="549"/>
    <col min="11265" max="11265" width="9" style="549" customWidth="1"/>
    <col min="11266" max="11266" width="83" style="549" customWidth="1"/>
    <col min="11267" max="11272" width="15.140625" style="549" customWidth="1"/>
    <col min="11273" max="11273" width="14.42578125" style="549" customWidth="1"/>
    <col min="11274" max="11274" width="13.42578125" style="549" customWidth="1"/>
    <col min="11275" max="11275" width="13.85546875" style="549" customWidth="1"/>
    <col min="11276" max="11276" width="13.28515625" style="549" bestFit="1" customWidth="1"/>
    <col min="11277" max="11520" width="9.140625" style="549"/>
    <col min="11521" max="11521" width="9" style="549" customWidth="1"/>
    <col min="11522" max="11522" width="83" style="549" customWidth="1"/>
    <col min="11523" max="11528" width="15.140625" style="549" customWidth="1"/>
    <col min="11529" max="11529" width="14.42578125" style="549" customWidth="1"/>
    <col min="11530" max="11530" width="13.42578125" style="549" customWidth="1"/>
    <col min="11531" max="11531" width="13.85546875" style="549" customWidth="1"/>
    <col min="11532" max="11532" width="13.28515625" style="549" bestFit="1" customWidth="1"/>
    <col min="11533" max="11776" width="9.140625" style="549"/>
    <col min="11777" max="11777" width="9" style="549" customWidth="1"/>
    <col min="11778" max="11778" width="83" style="549" customWidth="1"/>
    <col min="11779" max="11784" width="15.140625" style="549" customWidth="1"/>
    <col min="11785" max="11785" width="14.42578125" style="549" customWidth="1"/>
    <col min="11786" max="11786" width="13.42578125" style="549" customWidth="1"/>
    <col min="11787" max="11787" width="13.85546875" style="549" customWidth="1"/>
    <col min="11788" max="11788" width="13.28515625" style="549" bestFit="1" customWidth="1"/>
    <col min="11789" max="12032" width="9.140625" style="549"/>
    <col min="12033" max="12033" width="9" style="549" customWidth="1"/>
    <col min="12034" max="12034" width="83" style="549" customWidth="1"/>
    <col min="12035" max="12040" width="15.140625" style="549" customWidth="1"/>
    <col min="12041" max="12041" width="14.42578125" style="549" customWidth="1"/>
    <col min="12042" max="12042" width="13.42578125" style="549" customWidth="1"/>
    <col min="12043" max="12043" width="13.85546875" style="549" customWidth="1"/>
    <col min="12044" max="12044" width="13.28515625" style="549" bestFit="1" customWidth="1"/>
    <col min="12045" max="12288" width="9.140625" style="549"/>
    <col min="12289" max="12289" width="9" style="549" customWidth="1"/>
    <col min="12290" max="12290" width="83" style="549" customWidth="1"/>
    <col min="12291" max="12296" width="15.140625" style="549" customWidth="1"/>
    <col min="12297" max="12297" width="14.42578125" style="549" customWidth="1"/>
    <col min="12298" max="12298" width="13.42578125" style="549" customWidth="1"/>
    <col min="12299" max="12299" width="13.85546875" style="549" customWidth="1"/>
    <col min="12300" max="12300" width="13.28515625" style="549" bestFit="1" customWidth="1"/>
    <col min="12301" max="12544" width="9.140625" style="549"/>
    <col min="12545" max="12545" width="9" style="549" customWidth="1"/>
    <col min="12546" max="12546" width="83" style="549" customWidth="1"/>
    <col min="12547" max="12552" width="15.140625" style="549" customWidth="1"/>
    <col min="12553" max="12553" width="14.42578125" style="549" customWidth="1"/>
    <col min="12554" max="12554" width="13.42578125" style="549" customWidth="1"/>
    <col min="12555" max="12555" width="13.85546875" style="549" customWidth="1"/>
    <col min="12556" max="12556" width="13.28515625" style="549" bestFit="1" customWidth="1"/>
    <col min="12557" max="12800" width="9.140625" style="549"/>
    <col min="12801" max="12801" width="9" style="549" customWidth="1"/>
    <col min="12802" max="12802" width="83" style="549" customWidth="1"/>
    <col min="12803" max="12808" width="15.140625" style="549" customWidth="1"/>
    <col min="12809" max="12809" width="14.42578125" style="549" customWidth="1"/>
    <col min="12810" max="12810" width="13.42578125" style="549" customWidth="1"/>
    <col min="12811" max="12811" width="13.85546875" style="549" customWidth="1"/>
    <col min="12812" max="12812" width="13.28515625" style="549" bestFit="1" customWidth="1"/>
    <col min="12813" max="13056" width="9.140625" style="549"/>
    <col min="13057" max="13057" width="9" style="549" customWidth="1"/>
    <col min="13058" max="13058" width="83" style="549" customWidth="1"/>
    <col min="13059" max="13064" width="15.140625" style="549" customWidth="1"/>
    <col min="13065" max="13065" width="14.42578125" style="549" customWidth="1"/>
    <col min="13066" max="13066" width="13.42578125" style="549" customWidth="1"/>
    <col min="13067" max="13067" width="13.85546875" style="549" customWidth="1"/>
    <col min="13068" max="13068" width="13.28515625" style="549" bestFit="1" customWidth="1"/>
    <col min="13069" max="13312" width="9.140625" style="549"/>
    <col min="13313" max="13313" width="9" style="549" customWidth="1"/>
    <col min="13314" max="13314" width="83" style="549" customWidth="1"/>
    <col min="13315" max="13320" width="15.140625" style="549" customWidth="1"/>
    <col min="13321" max="13321" width="14.42578125" style="549" customWidth="1"/>
    <col min="13322" max="13322" width="13.42578125" style="549" customWidth="1"/>
    <col min="13323" max="13323" width="13.85546875" style="549" customWidth="1"/>
    <col min="13324" max="13324" width="13.28515625" style="549" bestFit="1" customWidth="1"/>
    <col min="13325" max="13568" width="9.140625" style="549"/>
    <col min="13569" max="13569" width="9" style="549" customWidth="1"/>
    <col min="13570" max="13570" width="83" style="549" customWidth="1"/>
    <col min="13571" max="13576" width="15.140625" style="549" customWidth="1"/>
    <col min="13577" max="13577" width="14.42578125" style="549" customWidth="1"/>
    <col min="13578" max="13578" width="13.42578125" style="549" customWidth="1"/>
    <col min="13579" max="13579" width="13.85546875" style="549" customWidth="1"/>
    <col min="13580" max="13580" width="13.28515625" style="549" bestFit="1" customWidth="1"/>
    <col min="13581" max="13824" width="9.140625" style="549"/>
    <col min="13825" max="13825" width="9" style="549" customWidth="1"/>
    <col min="13826" max="13826" width="83" style="549" customWidth="1"/>
    <col min="13827" max="13832" width="15.140625" style="549" customWidth="1"/>
    <col min="13833" max="13833" width="14.42578125" style="549" customWidth="1"/>
    <col min="13834" max="13834" width="13.42578125" style="549" customWidth="1"/>
    <col min="13835" max="13835" width="13.85546875" style="549" customWidth="1"/>
    <col min="13836" max="13836" width="13.28515625" style="549" bestFit="1" customWidth="1"/>
    <col min="13837" max="14080" width="9.140625" style="549"/>
    <col min="14081" max="14081" width="9" style="549" customWidth="1"/>
    <col min="14082" max="14082" width="83" style="549" customWidth="1"/>
    <col min="14083" max="14088" width="15.140625" style="549" customWidth="1"/>
    <col min="14089" max="14089" width="14.42578125" style="549" customWidth="1"/>
    <col min="14090" max="14090" width="13.42578125" style="549" customWidth="1"/>
    <col min="14091" max="14091" width="13.85546875" style="549" customWidth="1"/>
    <col min="14092" max="14092" width="13.28515625" style="549" bestFit="1" customWidth="1"/>
    <col min="14093" max="14336" width="9.140625" style="549"/>
    <col min="14337" max="14337" width="9" style="549" customWidth="1"/>
    <col min="14338" max="14338" width="83" style="549" customWidth="1"/>
    <col min="14339" max="14344" width="15.140625" style="549" customWidth="1"/>
    <col min="14345" max="14345" width="14.42578125" style="549" customWidth="1"/>
    <col min="14346" max="14346" width="13.42578125" style="549" customWidth="1"/>
    <col min="14347" max="14347" width="13.85546875" style="549" customWidth="1"/>
    <col min="14348" max="14348" width="13.28515625" style="549" bestFit="1" customWidth="1"/>
    <col min="14349" max="14592" width="9.140625" style="549"/>
    <col min="14593" max="14593" width="9" style="549" customWidth="1"/>
    <col min="14594" max="14594" width="83" style="549" customWidth="1"/>
    <col min="14595" max="14600" width="15.140625" style="549" customWidth="1"/>
    <col min="14601" max="14601" width="14.42578125" style="549" customWidth="1"/>
    <col min="14602" max="14602" width="13.42578125" style="549" customWidth="1"/>
    <col min="14603" max="14603" width="13.85546875" style="549" customWidth="1"/>
    <col min="14604" max="14604" width="13.28515625" style="549" bestFit="1" customWidth="1"/>
    <col min="14605" max="14848" width="9.140625" style="549"/>
    <col min="14849" max="14849" width="9" style="549" customWidth="1"/>
    <col min="14850" max="14850" width="83" style="549" customWidth="1"/>
    <col min="14851" max="14856" width="15.140625" style="549" customWidth="1"/>
    <col min="14857" max="14857" width="14.42578125" style="549" customWidth="1"/>
    <col min="14858" max="14858" width="13.42578125" style="549" customWidth="1"/>
    <col min="14859" max="14859" width="13.85546875" style="549" customWidth="1"/>
    <col min="14860" max="14860" width="13.28515625" style="549" bestFit="1" customWidth="1"/>
    <col min="14861" max="15104" width="9.140625" style="549"/>
    <col min="15105" max="15105" width="9" style="549" customWidth="1"/>
    <col min="15106" max="15106" width="83" style="549" customWidth="1"/>
    <col min="15107" max="15112" width="15.140625" style="549" customWidth="1"/>
    <col min="15113" max="15113" width="14.42578125" style="549" customWidth="1"/>
    <col min="15114" max="15114" width="13.42578125" style="549" customWidth="1"/>
    <col min="15115" max="15115" width="13.85546875" style="549" customWidth="1"/>
    <col min="15116" max="15116" width="13.28515625" style="549" bestFit="1" customWidth="1"/>
    <col min="15117" max="15360" width="9.140625" style="549"/>
    <col min="15361" max="15361" width="9" style="549" customWidth="1"/>
    <col min="15362" max="15362" width="83" style="549" customWidth="1"/>
    <col min="15363" max="15368" width="15.140625" style="549" customWidth="1"/>
    <col min="15369" max="15369" width="14.42578125" style="549" customWidth="1"/>
    <col min="15370" max="15370" width="13.42578125" style="549" customWidth="1"/>
    <col min="15371" max="15371" width="13.85546875" style="549" customWidth="1"/>
    <col min="15372" max="15372" width="13.28515625" style="549" bestFit="1" customWidth="1"/>
    <col min="15373" max="15616" width="9.140625" style="549"/>
    <col min="15617" max="15617" width="9" style="549" customWidth="1"/>
    <col min="15618" max="15618" width="83" style="549" customWidth="1"/>
    <col min="15619" max="15624" width="15.140625" style="549" customWidth="1"/>
    <col min="15625" max="15625" width="14.42578125" style="549" customWidth="1"/>
    <col min="15626" max="15626" width="13.42578125" style="549" customWidth="1"/>
    <col min="15627" max="15627" width="13.85546875" style="549" customWidth="1"/>
    <col min="15628" max="15628" width="13.28515625" style="549" bestFit="1" customWidth="1"/>
    <col min="15629" max="15872" width="9.140625" style="549"/>
    <col min="15873" max="15873" width="9" style="549" customWidth="1"/>
    <col min="15874" max="15874" width="83" style="549" customWidth="1"/>
    <col min="15875" max="15880" width="15.140625" style="549" customWidth="1"/>
    <col min="15881" max="15881" width="14.42578125" style="549" customWidth="1"/>
    <col min="15882" max="15882" width="13.42578125" style="549" customWidth="1"/>
    <col min="15883" max="15883" width="13.85546875" style="549" customWidth="1"/>
    <col min="15884" max="15884" width="13.28515625" style="549" bestFit="1" customWidth="1"/>
    <col min="15885" max="16128" width="9.140625" style="549"/>
    <col min="16129" max="16129" width="9" style="549" customWidth="1"/>
    <col min="16130" max="16130" width="83" style="549" customWidth="1"/>
    <col min="16131" max="16136" width="15.140625" style="549" customWidth="1"/>
    <col min="16137" max="16137" width="14.42578125" style="549" customWidth="1"/>
    <col min="16138" max="16138" width="13.42578125" style="549" customWidth="1"/>
    <col min="16139" max="16139" width="13.85546875" style="549" customWidth="1"/>
    <col min="16140" max="16140" width="13.28515625" style="549" bestFit="1" customWidth="1"/>
    <col min="16141" max="16384" width="9.140625" style="549"/>
  </cols>
  <sheetData>
    <row r="1" spans="1:13">
      <c r="A1" s="548"/>
      <c r="B1" s="548"/>
      <c r="I1" s="583"/>
      <c r="J1" s="1023" t="s">
        <v>779</v>
      </c>
      <c r="K1" s="1077"/>
    </row>
    <row r="2" spans="1:13">
      <c r="A2" s="1078" t="s">
        <v>780</v>
      </c>
      <c r="B2" s="1078"/>
      <c r="C2" s="1078"/>
      <c r="D2" s="1078"/>
      <c r="E2" s="1078"/>
      <c r="F2" s="1078"/>
      <c r="G2" s="1078"/>
      <c r="H2" s="1078"/>
      <c r="I2" s="1078"/>
      <c r="J2" s="1078"/>
      <c r="K2" s="1078"/>
    </row>
    <row r="3" spans="1:13">
      <c r="A3" s="1079" t="s">
        <v>460</v>
      </c>
      <c r="B3" s="1079"/>
      <c r="C3" s="1079"/>
      <c r="D3" s="1079"/>
      <c r="E3" s="1079"/>
      <c r="F3" s="1079"/>
      <c r="G3" s="1079"/>
      <c r="H3" s="1079"/>
      <c r="I3" s="1079"/>
      <c r="J3" s="1079"/>
      <c r="K3" s="1079"/>
    </row>
    <row r="4" spans="1:13">
      <c r="A4" s="550"/>
      <c r="B4" s="550"/>
      <c r="E4" s="215"/>
      <c r="F4" s="1080" t="s">
        <v>2</v>
      </c>
      <c r="G4" s="1080"/>
      <c r="H4" s="1080"/>
      <c r="I4" s="1080"/>
      <c r="J4" s="1080"/>
      <c r="K4" s="1080"/>
    </row>
    <row r="5" spans="1:13">
      <c r="A5" s="1081" t="s">
        <v>3</v>
      </c>
      <c r="B5" s="1081" t="s">
        <v>526</v>
      </c>
      <c r="C5" s="1042" t="s">
        <v>5</v>
      </c>
      <c r="D5" s="1044" t="s">
        <v>345</v>
      </c>
      <c r="E5" s="1044"/>
      <c r="F5" s="1042" t="s">
        <v>6</v>
      </c>
      <c r="G5" s="1044" t="s">
        <v>345</v>
      </c>
      <c r="H5" s="1044"/>
      <c r="I5" s="1044" t="s">
        <v>461</v>
      </c>
      <c r="J5" s="1044"/>
      <c r="K5" s="1044"/>
    </row>
    <row r="6" spans="1:13">
      <c r="A6" s="1082"/>
      <c r="B6" s="1082"/>
      <c r="C6" s="1042"/>
      <c r="D6" s="1042" t="s">
        <v>348</v>
      </c>
      <c r="E6" s="1042" t="s">
        <v>347</v>
      </c>
      <c r="F6" s="1042"/>
      <c r="G6" s="1042" t="s">
        <v>781</v>
      </c>
      <c r="H6" s="1042" t="s">
        <v>347</v>
      </c>
      <c r="I6" s="1042" t="s">
        <v>344</v>
      </c>
      <c r="J6" s="1042" t="s">
        <v>348</v>
      </c>
      <c r="K6" s="1042" t="s">
        <v>782</v>
      </c>
    </row>
    <row r="7" spans="1:13">
      <c r="A7" s="1082"/>
      <c r="B7" s="1082"/>
      <c r="C7" s="1042"/>
      <c r="D7" s="1042"/>
      <c r="E7" s="1042"/>
      <c r="F7" s="1042"/>
      <c r="G7" s="1042"/>
      <c r="H7" s="1042"/>
      <c r="I7" s="1042"/>
      <c r="J7" s="1042"/>
      <c r="K7" s="1042"/>
    </row>
    <row r="8" spans="1:13">
      <c r="A8" s="1083"/>
      <c r="B8" s="1083"/>
      <c r="C8" s="1042"/>
      <c r="D8" s="1042"/>
      <c r="E8" s="1042"/>
      <c r="F8" s="1042"/>
      <c r="G8" s="1042"/>
      <c r="H8" s="1042"/>
      <c r="I8" s="1042"/>
      <c r="J8" s="1042"/>
      <c r="K8" s="1042"/>
    </row>
    <row r="9" spans="1:13" s="552" customFormat="1">
      <c r="A9" s="551" t="s">
        <v>10</v>
      </c>
      <c r="B9" s="551" t="s">
        <v>11</v>
      </c>
      <c r="C9" s="477" t="s">
        <v>350</v>
      </c>
      <c r="D9" s="477">
        <v>2</v>
      </c>
      <c r="E9" s="477">
        <f>D9+1</f>
        <v>3</v>
      </c>
      <c r="F9" s="477" t="s">
        <v>783</v>
      </c>
      <c r="G9" s="477">
        <v>5</v>
      </c>
      <c r="H9" s="477">
        <f>G9+1</f>
        <v>6</v>
      </c>
      <c r="I9" s="477" t="s">
        <v>784</v>
      </c>
      <c r="J9" s="477" t="s">
        <v>785</v>
      </c>
      <c r="K9" s="477" t="s">
        <v>786</v>
      </c>
    </row>
    <row r="10" spans="1:13">
      <c r="A10" s="553"/>
      <c r="B10" s="554" t="s">
        <v>41</v>
      </c>
      <c r="C10" s="237">
        <f t="shared" ref="C10:E10" si="0">C11+C34+C106+C107</f>
        <v>10702623.72783</v>
      </c>
      <c r="D10" s="237">
        <f t="shared" si="0"/>
        <v>5965394.7278300002</v>
      </c>
      <c r="E10" s="237">
        <f t="shared" si="0"/>
        <v>4737229</v>
      </c>
      <c r="F10" s="237">
        <f>F11+F34+F106+F107</f>
        <v>16719621.000000002</v>
      </c>
      <c r="G10" s="237">
        <f t="shared" ref="G10:H10" si="1">G11+G34+G106+G107</f>
        <v>11316165.233339</v>
      </c>
      <c r="H10" s="237">
        <f t="shared" si="1"/>
        <v>5403455.7666609995</v>
      </c>
      <c r="I10" s="289">
        <f>F10/C10</f>
        <v>1.5621983380135118</v>
      </c>
      <c r="J10" s="289">
        <f>G10/D10</f>
        <v>1.8969683901295533</v>
      </c>
      <c r="K10" s="289">
        <f>H10/E10</f>
        <v>1.1406363860942756</v>
      </c>
      <c r="L10" s="555">
        <f>F10-G10-H10</f>
        <v>0</v>
      </c>
      <c r="M10" s="555"/>
    </row>
    <row r="11" spans="1:13" ht="36">
      <c r="A11" s="556" t="s">
        <v>10</v>
      </c>
      <c r="B11" s="557" t="s">
        <v>695</v>
      </c>
      <c r="C11" s="223">
        <f t="shared" ref="C11:H11" si="2">C12+C33</f>
        <v>8361291</v>
      </c>
      <c r="D11" s="223">
        <f t="shared" si="2"/>
        <v>3683273</v>
      </c>
      <c r="E11" s="223">
        <f t="shared" si="2"/>
        <v>4678018</v>
      </c>
      <c r="F11" s="223">
        <f t="shared" si="2"/>
        <v>8263162.4000000004</v>
      </c>
      <c r="G11" s="223">
        <f t="shared" si="2"/>
        <v>2934814.6333389999</v>
      </c>
      <c r="H11" s="223">
        <f t="shared" si="2"/>
        <v>5328347.7666609995</v>
      </c>
      <c r="I11" s="226">
        <f t="shared" ref="I11:K64" si="3">F11/C11</f>
        <v>0.98826394153725783</v>
      </c>
      <c r="J11" s="226">
        <f t="shared" si="3"/>
        <v>0.7967953049744072</v>
      </c>
      <c r="K11" s="226">
        <f t="shared" si="3"/>
        <v>1.1390182266637281</v>
      </c>
      <c r="L11" s="555">
        <f t="shared" ref="L11:L74" si="4">F11-G11-H11</f>
        <v>0</v>
      </c>
    </row>
    <row r="12" spans="1:13" s="552" customFormat="1">
      <c r="A12" s="558" t="s">
        <v>355</v>
      </c>
      <c r="B12" s="559" t="s">
        <v>696</v>
      </c>
      <c r="C12" s="223">
        <f t="shared" ref="C12:H12" si="5">C13+C23+C27+C28+C29+C30+C31+C32</f>
        <v>8292791</v>
      </c>
      <c r="D12" s="223">
        <f t="shared" si="5"/>
        <v>3614773</v>
      </c>
      <c r="E12" s="223">
        <f t="shared" si="5"/>
        <v>4678018</v>
      </c>
      <c r="F12" s="223">
        <f t="shared" si="5"/>
        <v>8254505</v>
      </c>
      <c r="G12" s="223">
        <f t="shared" si="5"/>
        <v>2926157.233339</v>
      </c>
      <c r="H12" s="223">
        <f t="shared" si="5"/>
        <v>5328347.7666609995</v>
      </c>
      <c r="I12" s="226">
        <f t="shared" si="3"/>
        <v>0.99538321899104898</v>
      </c>
      <c r="J12" s="226">
        <f t="shared" si="3"/>
        <v>0.80949958222521856</v>
      </c>
      <c r="K12" s="226">
        <f t="shared" si="3"/>
        <v>1.1390182266637281</v>
      </c>
      <c r="L12" s="555">
        <f t="shared" si="4"/>
        <v>0</v>
      </c>
    </row>
    <row r="13" spans="1:13">
      <c r="A13" s="560" t="s">
        <v>15</v>
      </c>
      <c r="B13" s="561" t="s">
        <v>787</v>
      </c>
      <c r="C13" s="223">
        <f>C14+C21+C22</f>
        <v>1027220</v>
      </c>
      <c r="D13" s="223">
        <f>D14+D21+D22</f>
        <v>415220</v>
      </c>
      <c r="E13" s="223">
        <f>E14+E21+E22</f>
        <v>612000</v>
      </c>
      <c r="F13" s="223">
        <f>F14+F21+F22</f>
        <v>1442000</v>
      </c>
      <c r="G13" s="223">
        <f>G14</f>
        <v>492267.23333899997</v>
      </c>
      <c r="H13" s="223">
        <f>H14</f>
        <v>949732.76666099997</v>
      </c>
      <c r="I13" s="226">
        <f t="shared" si="3"/>
        <v>1.4037888670391931</v>
      </c>
      <c r="J13" s="226">
        <f t="shared" si="3"/>
        <v>1.1855576160565482</v>
      </c>
      <c r="K13" s="226">
        <f t="shared" si="3"/>
        <v>1.5518509259166666</v>
      </c>
      <c r="L13" s="555">
        <f t="shared" si="4"/>
        <v>0</v>
      </c>
    </row>
    <row r="14" spans="1:13" s="564" customFormat="1">
      <c r="A14" s="567">
        <v>1</v>
      </c>
      <c r="B14" s="569" t="s">
        <v>47</v>
      </c>
      <c r="C14" s="222">
        <f>D14+E14</f>
        <v>1027220</v>
      </c>
      <c r="D14" s="245">
        <v>415220</v>
      </c>
      <c r="E14" s="245">
        <v>612000</v>
      </c>
      <c r="F14" s="222">
        <f>'PL15'!D22</f>
        <v>1442000</v>
      </c>
      <c r="G14" s="222">
        <f>PL25_TCDT!C10</f>
        <v>492267.23333899997</v>
      </c>
      <c r="H14" s="222">
        <f>F14-G14</f>
        <v>949732.76666099997</v>
      </c>
      <c r="I14" s="221">
        <f t="shared" si="3"/>
        <v>1.4037888670391931</v>
      </c>
      <c r="J14" s="221">
        <f t="shared" si="3"/>
        <v>1.1855576160565482</v>
      </c>
      <c r="K14" s="221">
        <f t="shared" si="3"/>
        <v>1.5518509259166666</v>
      </c>
      <c r="L14" s="555">
        <f t="shared" si="4"/>
        <v>0</v>
      </c>
    </row>
    <row r="15" spans="1:13" s="564" customFormat="1">
      <c r="A15" s="562"/>
      <c r="B15" s="563" t="s">
        <v>358</v>
      </c>
      <c r="C15" s="231">
        <f t="shared" ref="C15:C29" si="6">D15+E15</f>
        <v>0</v>
      </c>
      <c r="D15" s="245"/>
      <c r="E15" s="245"/>
      <c r="F15" s="231"/>
      <c r="G15" s="222"/>
      <c r="H15" s="222"/>
      <c r="I15" s="221"/>
      <c r="J15" s="221"/>
      <c r="K15" s="221"/>
      <c r="L15" s="555">
        <f t="shared" si="4"/>
        <v>0</v>
      </c>
    </row>
    <row r="16" spans="1:13" s="564" customFormat="1">
      <c r="A16" s="565" t="s">
        <v>19</v>
      </c>
      <c r="B16" s="563" t="s">
        <v>263</v>
      </c>
      <c r="C16" s="231">
        <f>'PL14'!C15</f>
        <v>0</v>
      </c>
      <c r="D16" s="566">
        <v>12412</v>
      </c>
      <c r="E16" s="566">
        <v>45887</v>
      </c>
      <c r="F16" s="231">
        <f>G16+H16</f>
        <v>99392.663400000005</v>
      </c>
      <c r="G16" s="231">
        <f>PL25_TCDT!D10</f>
        <v>15208.663400000001</v>
      </c>
      <c r="H16" s="231">
        <f>'PL27'!V16</f>
        <v>84184</v>
      </c>
      <c r="I16" s="221"/>
      <c r="J16" s="221">
        <f>G16/D16</f>
        <v>1.2253193200128909</v>
      </c>
      <c r="K16" s="221">
        <f>H16/E16</f>
        <v>1.8345936757687362</v>
      </c>
      <c r="L16" s="555">
        <f t="shared" si="4"/>
        <v>0</v>
      </c>
    </row>
    <row r="17" spans="1:12" s="564" customFormat="1">
      <c r="A17" s="565" t="s">
        <v>19</v>
      </c>
      <c r="B17" s="563" t="s">
        <v>264</v>
      </c>
      <c r="C17" s="231">
        <f>'PL14'!C16</f>
        <v>0</v>
      </c>
      <c r="D17" s="566"/>
      <c r="E17" s="566">
        <v>0</v>
      </c>
      <c r="F17" s="231">
        <f>G17+H17</f>
        <v>0</v>
      </c>
      <c r="G17" s="231">
        <f>PL25_TCDT!E10</f>
        <v>0</v>
      </c>
      <c r="H17" s="231">
        <f>'PL27'!W16</f>
        <v>0</v>
      </c>
      <c r="I17" s="221"/>
      <c r="J17" s="221"/>
      <c r="K17" s="221"/>
      <c r="L17" s="555">
        <f t="shared" si="4"/>
        <v>0</v>
      </c>
    </row>
    <row r="18" spans="1:12" s="564" customFormat="1">
      <c r="A18" s="567"/>
      <c r="B18" s="563" t="s">
        <v>359</v>
      </c>
      <c r="C18" s="231">
        <f t="shared" si="6"/>
        <v>0</v>
      </c>
      <c r="D18" s="245"/>
      <c r="E18" s="245"/>
      <c r="F18" s="231"/>
      <c r="G18" s="222"/>
      <c r="H18" s="222"/>
      <c r="I18" s="221"/>
      <c r="J18" s="221"/>
      <c r="K18" s="221"/>
      <c r="L18" s="555">
        <f t="shared" si="4"/>
        <v>0</v>
      </c>
    </row>
    <row r="19" spans="1:12" s="564" customFormat="1">
      <c r="A19" s="565" t="s">
        <v>19</v>
      </c>
      <c r="B19" s="569" t="s">
        <v>360</v>
      </c>
      <c r="C19" s="222">
        <f t="shared" si="6"/>
        <v>400000</v>
      </c>
      <c r="D19" s="245">
        <v>28000</v>
      </c>
      <c r="E19" s="245">
        <f>20000+352000</f>
        <v>372000</v>
      </c>
      <c r="F19" s="222">
        <f>G19+H19</f>
        <v>294449</v>
      </c>
      <c r="G19" s="525">
        <v>28000</v>
      </c>
      <c r="H19" s="222">
        <f>'PL27'!Z16</f>
        <v>266449</v>
      </c>
      <c r="I19" s="221">
        <f t="shared" si="3"/>
        <v>0.73612250000000001</v>
      </c>
      <c r="J19" s="221">
        <f>G19/D19</f>
        <v>1</v>
      </c>
      <c r="K19" s="221">
        <f>H19/E19</f>
        <v>0.71626075268817202</v>
      </c>
      <c r="L19" s="555">
        <f t="shared" si="4"/>
        <v>0</v>
      </c>
    </row>
    <row r="20" spans="1:12" s="564" customFormat="1">
      <c r="A20" s="565" t="s">
        <v>19</v>
      </c>
      <c r="B20" s="569" t="s">
        <v>363</v>
      </c>
      <c r="C20" s="222">
        <f t="shared" si="6"/>
        <v>80000</v>
      </c>
      <c r="D20" s="245">
        <v>80000</v>
      </c>
      <c r="E20" s="245">
        <v>0</v>
      </c>
      <c r="F20" s="245">
        <f>G20+H20</f>
        <v>89823</v>
      </c>
      <c r="G20" s="525">
        <v>89077</v>
      </c>
      <c r="H20" s="222">
        <f>'PL27'!Y16</f>
        <v>746</v>
      </c>
      <c r="I20" s="221">
        <f t="shared" si="3"/>
        <v>1.1227875</v>
      </c>
      <c r="J20" s="221">
        <f>G20/D20</f>
        <v>1.1134625</v>
      </c>
      <c r="K20" s="221"/>
      <c r="L20" s="555">
        <f t="shared" si="4"/>
        <v>0</v>
      </c>
    </row>
    <row r="21" spans="1:12" s="564" customFormat="1" ht="56.25">
      <c r="A21" s="567">
        <v>2</v>
      </c>
      <c r="B21" s="568" t="s">
        <v>61</v>
      </c>
      <c r="C21" s="231">
        <f t="shared" si="6"/>
        <v>0</v>
      </c>
      <c r="D21" s="222"/>
      <c r="E21" s="222"/>
      <c r="F21" s="231"/>
      <c r="G21" s="222"/>
      <c r="H21" s="222"/>
      <c r="I21" s="221"/>
      <c r="J21" s="221"/>
      <c r="K21" s="221"/>
      <c r="L21" s="555">
        <f t="shared" si="4"/>
        <v>0</v>
      </c>
    </row>
    <row r="22" spans="1:12" s="564" customFormat="1">
      <c r="A22" s="567">
        <v>3</v>
      </c>
      <c r="B22" s="569" t="s">
        <v>62</v>
      </c>
      <c r="C22" s="231">
        <f t="shared" si="6"/>
        <v>0</v>
      </c>
      <c r="D22" s="222"/>
      <c r="E22" s="222"/>
      <c r="F22" s="231"/>
      <c r="G22" s="222"/>
      <c r="H22" s="222"/>
      <c r="I22" s="221"/>
      <c r="J22" s="221"/>
      <c r="K22" s="221"/>
      <c r="L22" s="555">
        <f t="shared" si="4"/>
        <v>0</v>
      </c>
    </row>
    <row r="23" spans="1:12" s="552" customFormat="1">
      <c r="A23" s="560" t="s">
        <v>25</v>
      </c>
      <c r="B23" s="561" t="s">
        <v>63</v>
      </c>
      <c r="C23" s="223">
        <f t="shared" si="6"/>
        <v>5777927</v>
      </c>
      <c r="D23" s="223">
        <v>1926832</v>
      </c>
      <c r="E23" s="223">
        <f>64662+3786433</f>
        <v>3851095</v>
      </c>
      <c r="F23" s="223">
        <f>'PL15'!D23</f>
        <v>6452000</v>
      </c>
      <c r="G23" s="223">
        <f>'PL23'!D30-G32</f>
        <v>2073385</v>
      </c>
      <c r="H23" s="223">
        <f>F23-G23</f>
        <v>4378615</v>
      </c>
      <c r="I23" s="226">
        <f t="shared" si="3"/>
        <v>1.1166634677108243</v>
      </c>
      <c r="J23" s="226">
        <f>G23/D23</f>
        <v>1.0760590440681908</v>
      </c>
      <c r="K23" s="226">
        <f>H23/E23</f>
        <v>1.1369792227924784</v>
      </c>
      <c r="L23" s="555">
        <f t="shared" si="4"/>
        <v>0</v>
      </c>
    </row>
    <row r="24" spans="1:12">
      <c r="A24" s="560"/>
      <c r="B24" s="563" t="s">
        <v>365</v>
      </c>
      <c r="C24" s="231"/>
      <c r="D24" s="222"/>
      <c r="E24" s="222"/>
      <c r="F24" s="231"/>
      <c r="G24" s="222"/>
      <c r="H24" s="222"/>
      <c r="I24" s="221"/>
      <c r="J24" s="221"/>
      <c r="K24" s="221"/>
      <c r="L24" s="555">
        <f t="shared" si="4"/>
        <v>0</v>
      </c>
    </row>
    <row r="25" spans="1:12" s="564" customFormat="1">
      <c r="A25" s="567">
        <v>1</v>
      </c>
      <c r="B25" s="563" t="s">
        <v>263</v>
      </c>
      <c r="C25" s="222">
        <f t="shared" si="6"/>
        <v>2653297.70456</v>
      </c>
      <c r="D25" s="222">
        <v>457575.70455999998</v>
      </c>
      <c r="E25" s="222">
        <f>10000+2185722</f>
        <v>2195722</v>
      </c>
      <c r="F25" s="222">
        <f>'PL14'!D24</f>
        <v>2900000</v>
      </c>
      <c r="G25" s="222">
        <f>'PL23'!D31+'PL23'!M2+10000</f>
        <v>570971</v>
      </c>
      <c r="H25" s="222">
        <f>F25-G25</f>
        <v>2329029</v>
      </c>
      <c r="I25" s="221">
        <f t="shared" si="3"/>
        <v>1.0929795005724436</v>
      </c>
      <c r="J25" s="221">
        <f>G25/D25</f>
        <v>1.2478175617934955</v>
      </c>
      <c r="K25" s="221">
        <f>H25/E25</f>
        <v>1.0607121484413782</v>
      </c>
      <c r="L25" s="555">
        <f t="shared" si="4"/>
        <v>0</v>
      </c>
    </row>
    <row r="26" spans="1:12" s="564" customFormat="1">
      <c r="A26" s="567">
        <f>A25+1</f>
        <v>2</v>
      </c>
      <c r="B26" s="563" t="s">
        <v>788</v>
      </c>
      <c r="C26" s="222">
        <f t="shared" si="6"/>
        <v>17641</v>
      </c>
      <c r="D26" s="222">
        <v>14041</v>
      </c>
      <c r="E26" s="222">
        <f>1600+2000</f>
        <v>3600</v>
      </c>
      <c r="F26" s="222">
        <f>'PL14'!D25</f>
        <v>11704</v>
      </c>
      <c r="G26" s="222">
        <f>'PL23'!D32+1600</f>
        <v>9704</v>
      </c>
      <c r="H26" s="222">
        <f>F26-G26</f>
        <v>2000</v>
      </c>
      <c r="I26" s="221">
        <f t="shared" si="3"/>
        <v>0.66345445269542547</v>
      </c>
      <c r="J26" s="221">
        <f>G26/D26</f>
        <v>0.69111886617762264</v>
      </c>
      <c r="K26" s="221">
        <f>H26/E26</f>
        <v>0.55555555555555558</v>
      </c>
      <c r="L26" s="555">
        <f t="shared" si="4"/>
        <v>0</v>
      </c>
    </row>
    <row r="27" spans="1:12" s="552" customFormat="1">
      <c r="A27" s="560" t="s">
        <v>32</v>
      </c>
      <c r="B27" s="561" t="s">
        <v>789</v>
      </c>
      <c r="C27" s="223">
        <f t="shared" si="6"/>
        <v>2100</v>
      </c>
      <c r="D27" s="223">
        <v>2100</v>
      </c>
      <c r="E27" s="223"/>
      <c r="F27" s="223">
        <f>G27+H27</f>
        <v>10706</v>
      </c>
      <c r="G27" s="223">
        <f>'PL14'!D26</f>
        <v>10706</v>
      </c>
      <c r="H27" s="223"/>
      <c r="I27" s="226">
        <f t="shared" si="3"/>
        <v>5.0980952380952385</v>
      </c>
      <c r="J27" s="226">
        <f>G27/D27</f>
        <v>5.0980952380952385</v>
      </c>
      <c r="K27" s="226"/>
      <c r="L27" s="555">
        <f t="shared" si="4"/>
        <v>0</v>
      </c>
    </row>
    <row r="28" spans="1:12" s="552" customFormat="1">
      <c r="A28" s="560" t="s">
        <v>67</v>
      </c>
      <c r="B28" s="561" t="s">
        <v>534</v>
      </c>
      <c r="C28" s="223">
        <f t="shared" si="6"/>
        <v>1000</v>
      </c>
      <c r="D28" s="223">
        <v>1000</v>
      </c>
      <c r="E28" s="223"/>
      <c r="F28" s="223">
        <f>G28+H28</f>
        <v>1000</v>
      </c>
      <c r="G28" s="223">
        <f>'PL14'!D27</f>
        <v>1000</v>
      </c>
      <c r="H28" s="223"/>
      <c r="I28" s="226">
        <f t="shared" si="3"/>
        <v>1</v>
      </c>
      <c r="J28" s="226">
        <f>G28/D28</f>
        <v>1</v>
      </c>
      <c r="K28" s="226"/>
      <c r="L28" s="555">
        <f t="shared" si="4"/>
        <v>0</v>
      </c>
    </row>
    <row r="29" spans="1:12" s="552" customFormat="1" ht="19.5">
      <c r="A29" s="560" t="s">
        <v>69</v>
      </c>
      <c r="B29" s="561" t="s">
        <v>370</v>
      </c>
      <c r="C29" s="223">
        <f t="shared" si="6"/>
        <v>165856</v>
      </c>
      <c r="D29" s="223">
        <v>77933</v>
      </c>
      <c r="E29" s="223">
        <v>87923</v>
      </c>
      <c r="F29" s="571"/>
      <c r="G29" s="223">
        <f>'PL14'!D28</f>
        <v>0</v>
      </c>
      <c r="H29" s="223"/>
      <c r="I29" s="226">
        <f t="shared" si="3"/>
        <v>0</v>
      </c>
      <c r="J29" s="226"/>
      <c r="K29" s="226"/>
      <c r="L29" s="555">
        <f t="shared" si="4"/>
        <v>0</v>
      </c>
    </row>
    <row r="30" spans="1:12" s="552" customFormat="1" ht="19.5">
      <c r="A30" s="560" t="s">
        <v>71</v>
      </c>
      <c r="B30" s="561" t="s">
        <v>535</v>
      </c>
      <c r="C30" s="571"/>
      <c r="D30" s="223"/>
      <c r="E30" s="223"/>
      <c r="F30" s="571"/>
      <c r="G30" s="223">
        <f>'PL14'!D29</f>
        <v>0</v>
      </c>
      <c r="H30" s="223"/>
      <c r="I30" s="226"/>
      <c r="J30" s="226"/>
      <c r="K30" s="226"/>
      <c r="L30" s="555">
        <f t="shared" si="4"/>
        <v>0</v>
      </c>
    </row>
    <row r="31" spans="1:12" s="552" customFormat="1" ht="56.25">
      <c r="A31" s="560" t="s">
        <v>306</v>
      </c>
      <c r="B31" s="154" t="s">
        <v>790</v>
      </c>
      <c r="C31" s="223">
        <f>D31+E31</f>
        <v>1318688</v>
      </c>
      <c r="D31" s="223">
        <v>1191688</v>
      </c>
      <c r="E31" s="223">
        <f>39000+88000</f>
        <v>127000</v>
      </c>
      <c r="F31" s="223">
        <f>G31+H31</f>
        <v>333799</v>
      </c>
      <c r="G31" s="223">
        <f>'PL14'!D30</f>
        <v>333799</v>
      </c>
      <c r="H31" s="223"/>
      <c r="I31" s="226">
        <f t="shared" si="3"/>
        <v>0.2531296258098959</v>
      </c>
      <c r="J31" s="226">
        <f>G31/D31</f>
        <v>0.280106034465397</v>
      </c>
      <c r="K31" s="226"/>
      <c r="L31" s="555">
        <f t="shared" si="4"/>
        <v>0</v>
      </c>
    </row>
    <row r="32" spans="1:12" ht="27.75" customHeight="1">
      <c r="A32" s="560" t="s">
        <v>703</v>
      </c>
      <c r="B32" s="154" t="s">
        <v>559</v>
      </c>
      <c r="C32" s="223">
        <f>D32+E32</f>
        <v>0</v>
      </c>
      <c r="D32" s="223"/>
      <c r="E32" s="223"/>
      <c r="F32" s="223">
        <f>G32+H32</f>
        <v>15000</v>
      </c>
      <c r="G32" s="223">
        <f>'PL14'!D31</f>
        <v>15000</v>
      </c>
      <c r="H32" s="222"/>
      <c r="I32" s="221"/>
      <c r="J32" s="221"/>
      <c r="K32" s="221"/>
      <c r="L32" s="555">
        <f t="shared" si="4"/>
        <v>0</v>
      </c>
    </row>
    <row r="33" spans="1:12">
      <c r="A33" s="560" t="s">
        <v>375</v>
      </c>
      <c r="B33" s="154" t="s">
        <v>704</v>
      </c>
      <c r="C33" s="223">
        <f>D33+E33</f>
        <v>68500</v>
      </c>
      <c r="D33" s="223">
        <v>68500</v>
      </c>
      <c r="E33" s="223"/>
      <c r="F33" s="223">
        <f>G33+H33</f>
        <v>8657.4</v>
      </c>
      <c r="G33" s="223">
        <f>'PL14'!D32</f>
        <v>8657.4</v>
      </c>
      <c r="H33" s="222"/>
      <c r="I33" s="221"/>
      <c r="J33" s="226">
        <f>G33/D33</f>
        <v>0.126385401459854</v>
      </c>
      <c r="K33" s="221"/>
      <c r="L33" s="555">
        <f t="shared" si="4"/>
        <v>0</v>
      </c>
    </row>
    <row r="34" spans="1:12" s="552" customFormat="1">
      <c r="A34" s="560" t="s">
        <v>11</v>
      </c>
      <c r="B34" s="570" t="s">
        <v>377</v>
      </c>
      <c r="C34" s="223">
        <v>2341332.7278300002</v>
      </c>
      <c r="D34" s="223">
        <f>D35+D39</f>
        <v>2282121.7278300002</v>
      </c>
      <c r="E34" s="223">
        <f>E35+E39</f>
        <v>59211</v>
      </c>
      <c r="F34" s="223">
        <f>F35+F39</f>
        <v>4290837.4000000004</v>
      </c>
      <c r="G34" s="223">
        <f>G35+G39</f>
        <v>4215729.4000000004</v>
      </c>
      <c r="H34" s="223">
        <f>H35+H39</f>
        <v>75108</v>
      </c>
      <c r="I34" s="226">
        <f t="shared" si="3"/>
        <v>1.8326474272526165</v>
      </c>
      <c r="J34" s="226">
        <f>G34/D34</f>
        <v>1.8472850718653857</v>
      </c>
      <c r="K34" s="226">
        <f>H34/E34</f>
        <v>1.2684805188225161</v>
      </c>
      <c r="L34" s="555">
        <f t="shared" si="4"/>
        <v>0</v>
      </c>
    </row>
    <row r="35" spans="1:12" s="552" customFormat="1">
      <c r="A35" s="560" t="s">
        <v>15</v>
      </c>
      <c r="B35" s="561" t="s">
        <v>77</v>
      </c>
      <c r="C35" s="223">
        <f t="shared" ref="C35:H35" si="7">C36+C37+C38</f>
        <v>1353958</v>
      </c>
      <c r="D35" s="223">
        <f t="shared" si="7"/>
        <v>1353958</v>
      </c>
      <c r="E35" s="223">
        <f t="shared" si="7"/>
        <v>0</v>
      </c>
      <c r="F35" s="223">
        <f t="shared" si="7"/>
        <v>832473.4</v>
      </c>
      <c r="G35" s="223">
        <f t="shared" si="7"/>
        <v>832473.4</v>
      </c>
      <c r="H35" s="223">
        <f t="shared" si="7"/>
        <v>0</v>
      </c>
      <c r="I35" s="226"/>
      <c r="J35" s="226"/>
      <c r="K35" s="226"/>
      <c r="L35" s="555"/>
    </row>
    <row r="36" spans="1:12">
      <c r="A36" s="228">
        <v>1</v>
      </c>
      <c r="B36" s="156" t="s">
        <v>378</v>
      </c>
      <c r="C36" s="222">
        <v>160530</v>
      </c>
      <c r="D36" s="245">
        <f>C36</f>
        <v>160530</v>
      </c>
      <c r="E36" s="222"/>
      <c r="F36" s="245">
        <f>25275+100000</f>
        <v>125275</v>
      </c>
      <c r="G36" s="525">
        <f>F36</f>
        <v>125275</v>
      </c>
      <c r="H36" s="222">
        <f>F36-G36</f>
        <v>0</v>
      </c>
      <c r="I36" s="221"/>
      <c r="J36" s="221"/>
      <c r="K36" s="221"/>
      <c r="L36" s="555"/>
    </row>
    <row r="37" spans="1:12">
      <c r="A37" s="228">
        <v>2</v>
      </c>
      <c r="B37" s="156" t="s">
        <v>379</v>
      </c>
      <c r="C37" s="222">
        <v>325739</v>
      </c>
      <c r="D37" s="245">
        <f t="shared" ref="D37:D38" si="8">C37</f>
        <v>325739</v>
      </c>
      <c r="E37" s="222"/>
      <c r="F37" s="245">
        <f>23995+172000</f>
        <v>195995</v>
      </c>
      <c r="G37" s="525">
        <f t="shared" ref="G37:G38" si="9">F37</f>
        <v>195995</v>
      </c>
      <c r="H37" s="222">
        <f>F37-G37</f>
        <v>0</v>
      </c>
      <c r="I37" s="221"/>
      <c r="J37" s="221"/>
      <c r="K37" s="221"/>
      <c r="L37" s="555"/>
    </row>
    <row r="38" spans="1:12" ht="37.5">
      <c r="A38" s="228">
        <v>3</v>
      </c>
      <c r="B38" s="156" t="s">
        <v>791</v>
      </c>
      <c r="C38" s="222">
        <v>867689</v>
      </c>
      <c r="D38" s="245">
        <f t="shared" si="8"/>
        <v>867689</v>
      </c>
      <c r="E38" s="222"/>
      <c r="F38" s="245">
        <f>61003+450200.4</f>
        <v>511203.4</v>
      </c>
      <c r="G38" s="525">
        <f t="shared" si="9"/>
        <v>511203.4</v>
      </c>
      <c r="H38" s="222">
        <f>F38-G38</f>
        <v>0</v>
      </c>
      <c r="I38" s="221"/>
      <c r="J38" s="221"/>
      <c r="K38" s="221"/>
      <c r="L38" s="555"/>
    </row>
    <row r="39" spans="1:12" s="217" customFormat="1">
      <c r="A39" s="225" t="s">
        <v>25</v>
      </c>
      <c r="B39" s="224" t="s">
        <v>381</v>
      </c>
      <c r="C39" s="223">
        <v>987374.72782999999</v>
      </c>
      <c r="D39" s="223">
        <f>D40+D41</f>
        <v>928163.72782999999</v>
      </c>
      <c r="E39" s="223">
        <f>E40+E41</f>
        <v>59211</v>
      </c>
      <c r="F39" s="223">
        <f>F40+F41</f>
        <v>3458364</v>
      </c>
      <c r="G39" s="223">
        <f>G40+G41</f>
        <v>3383256</v>
      </c>
      <c r="H39" s="223">
        <f>H40+H41</f>
        <v>75108</v>
      </c>
      <c r="I39" s="226">
        <f t="shared" si="3"/>
        <v>3.5025850900605993</v>
      </c>
      <c r="J39" s="226">
        <f>G39/D39</f>
        <v>3.6451068906882216</v>
      </c>
      <c r="K39" s="226">
        <f>H39/E39</f>
        <v>1.2684805188225161</v>
      </c>
      <c r="L39" s="215">
        <f t="shared" si="4"/>
        <v>0</v>
      </c>
    </row>
    <row r="40" spans="1:12" s="217" customFormat="1">
      <c r="A40" s="575" t="s">
        <v>382</v>
      </c>
      <c r="B40" s="576" t="s">
        <v>558</v>
      </c>
      <c r="C40" s="223">
        <v>823220</v>
      </c>
      <c r="D40" s="223">
        <f>C40</f>
        <v>823220</v>
      </c>
      <c r="E40" s="223"/>
      <c r="F40" s="223">
        <f>G40+H40</f>
        <v>3087727</v>
      </c>
      <c r="G40" s="223">
        <f>'PL15'!D40</f>
        <v>3087727</v>
      </c>
      <c r="H40" s="223"/>
      <c r="I40" s="226">
        <f t="shared" si="3"/>
        <v>3.7507920118558831</v>
      </c>
      <c r="J40" s="226">
        <f>G40/D40</f>
        <v>3.7507920118558831</v>
      </c>
      <c r="K40" s="226"/>
      <c r="L40" s="215">
        <f t="shared" si="4"/>
        <v>0</v>
      </c>
    </row>
    <row r="41" spans="1:12" s="217" customFormat="1">
      <c r="A41" s="577" t="s">
        <v>385</v>
      </c>
      <c r="B41" s="578" t="s">
        <v>705</v>
      </c>
      <c r="C41" s="223">
        <f t="shared" ref="C41:H41" si="10">C42+C43</f>
        <v>164154.72782999999</v>
      </c>
      <c r="D41" s="223">
        <f t="shared" si="10"/>
        <v>104943.72783</v>
      </c>
      <c r="E41" s="223">
        <f t="shared" si="10"/>
        <v>59211</v>
      </c>
      <c r="F41" s="223">
        <f t="shared" si="10"/>
        <v>370637</v>
      </c>
      <c r="G41" s="223">
        <f t="shared" si="10"/>
        <v>295529</v>
      </c>
      <c r="H41" s="223">
        <f t="shared" si="10"/>
        <v>75108</v>
      </c>
      <c r="I41" s="226">
        <f t="shared" si="3"/>
        <v>2.2578515093627689</v>
      </c>
      <c r="J41" s="226">
        <f>G41/D41</f>
        <v>2.8160711088778174</v>
      </c>
      <c r="K41" s="226">
        <f>H41/E41</f>
        <v>1.2684805188225161</v>
      </c>
      <c r="L41" s="215">
        <f t="shared" si="4"/>
        <v>0</v>
      </c>
    </row>
    <row r="42" spans="1:12" s="208" customFormat="1">
      <c r="A42" s="579" t="s">
        <v>792</v>
      </c>
      <c r="B42" s="580" t="s">
        <v>706</v>
      </c>
      <c r="C42" s="223">
        <v>0</v>
      </c>
      <c r="D42" s="223">
        <f>C42</f>
        <v>0</v>
      </c>
      <c r="E42" s="222"/>
      <c r="F42" s="223"/>
      <c r="G42" s="223"/>
      <c r="H42" s="223"/>
      <c r="I42" s="226"/>
      <c r="J42" s="226"/>
      <c r="K42" s="226"/>
      <c r="L42" s="215">
        <f t="shared" si="4"/>
        <v>0</v>
      </c>
    </row>
    <row r="43" spans="1:12" s="208" customFormat="1">
      <c r="A43" s="579" t="s">
        <v>793</v>
      </c>
      <c r="B43" s="580" t="s">
        <v>384</v>
      </c>
      <c r="C43" s="223">
        <f t="shared" ref="C43:E43" si="11">C44+C61+C65+C66+C70+C85+C88</f>
        <v>164154.72782999999</v>
      </c>
      <c r="D43" s="223">
        <f t="shared" si="11"/>
        <v>104943.72783</v>
      </c>
      <c r="E43" s="223">
        <f t="shared" si="11"/>
        <v>59211</v>
      </c>
      <c r="F43" s="223">
        <f>F44+F61+F65+F66+F70+F85+F88+F103+F104+F105</f>
        <v>370637</v>
      </c>
      <c r="G43" s="223">
        <f t="shared" ref="G43:H43" si="12">G44+G61+G65+G66+G70+G85+G88+G103+G104+G105</f>
        <v>295529</v>
      </c>
      <c r="H43" s="223">
        <f t="shared" si="12"/>
        <v>75108</v>
      </c>
      <c r="I43" s="226">
        <f t="shared" si="3"/>
        <v>2.2578515093627689</v>
      </c>
      <c r="J43" s="226">
        <f>G43/D43</f>
        <v>2.8160711088778174</v>
      </c>
      <c r="K43" s="226">
        <f>H43/E43</f>
        <v>1.2684805188225161</v>
      </c>
      <c r="L43" s="215">
        <f t="shared" si="4"/>
        <v>0</v>
      </c>
    </row>
    <row r="44" spans="1:12" s="208" customFormat="1">
      <c r="A44" s="250">
        <v>1</v>
      </c>
      <c r="B44" s="292" t="s">
        <v>387</v>
      </c>
      <c r="C44" s="222">
        <f t="shared" ref="C44:H44" si="13">C45+C60</f>
        <v>3187</v>
      </c>
      <c r="D44" s="222">
        <f t="shared" si="13"/>
        <v>2103</v>
      </c>
      <c r="E44" s="222">
        <f t="shared" si="13"/>
        <v>1084</v>
      </c>
      <c r="F44" s="222">
        <f t="shared" si="13"/>
        <v>3187</v>
      </c>
      <c r="G44" s="222">
        <f t="shared" si="13"/>
        <v>2103</v>
      </c>
      <c r="H44" s="222">
        <f t="shared" si="13"/>
        <v>1084</v>
      </c>
      <c r="I44" s="221">
        <f t="shared" si="3"/>
        <v>1</v>
      </c>
      <c r="J44" s="221">
        <f t="shared" si="3"/>
        <v>1</v>
      </c>
      <c r="K44" s="221">
        <f>H44/E44</f>
        <v>1</v>
      </c>
      <c r="L44" s="215">
        <f t="shared" si="4"/>
        <v>0</v>
      </c>
    </row>
    <row r="45" spans="1:12" s="217" customFormat="1">
      <c r="A45" s="250" t="s">
        <v>388</v>
      </c>
      <c r="B45" s="227" t="s">
        <v>389</v>
      </c>
      <c r="C45" s="222">
        <f t="shared" ref="C45:H45" si="14">SUM(C46:C59)</f>
        <v>2103</v>
      </c>
      <c r="D45" s="222">
        <f t="shared" si="14"/>
        <v>2103</v>
      </c>
      <c r="E45" s="222">
        <f t="shared" si="14"/>
        <v>0</v>
      </c>
      <c r="F45" s="222">
        <f t="shared" si="14"/>
        <v>2103</v>
      </c>
      <c r="G45" s="222">
        <f t="shared" si="14"/>
        <v>2103</v>
      </c>
      <c r="H45" s="222">
        <f t="shared" si="14"/>
        <v>0</v>
      </c>
      <c r="I45" s="221">
        <f t="shared" si="3"/>
        <v>1</v>
      </c>
      <c r="J45" s="221">
        <f t="shared" si="3"/>
        <v>1</v>
      </c>
      <c r="K45" s="221"/>
      <c r="L45" s="215">
        <f t="shared" si="4"/>
        <v>0</v>
      </c>
    </row>
    <row r="46" spans="1:12" s="208" customFormat="1">
      <c r="A46" s="250" t="s">
        <v>19</v>
      </c>
      <c r="B46" s="227" t="s">
        <v>390</v>
      </c>
      <c r="C46" s="222">
        <v>1051</v>
      </c>
      <c r="D46" s="222">
        <f t="shared" ref="D46:D58" si="15">C46</f>
        <v>1051</v>
      </c>
      <c r="E46" s="222"/>
      <c r="F46" s="222">
        <f t="shared" ref="F46:F59" si="16">G46+H46</f>
        <v>1051</v>
      </c>
      <c r="G46" s="222">
        <f t="shared" ref="G46:H60" si="17">D46</f>
        <v>1051</v>
      </c>
      <c r="H46" s="222">
        <f t="shared" si="17"/>
        <v>0</v>
      </c>
      <c r="I46" s="221">
        <f t="shared" si="3"/>
        <v>1</v>
      </c>
      <c r="J46" s="221">
        <f t="shared" si="3"/>
        <v>1</v>
      </c>
      <c r="K46" s="221"/>
      <c r="L46" s="215">
        <f t="shared" si="4"/>
        <v>0</v>
      </c>
    </row>
    <row r="47" spans="1:12" s="208" customFormat="1">
      <c r="A47" s="250" t="s">
        <v>19</v>
      </c>
      <c r="B47" s="227" t="s">
        <v>391</v>
      </c>
      <c r="C47" s="222">
        <v>526</v>
      </c>
      <c r="D47" s="222">
        <f t="shared" si="15"/>
        <v>526</v>
      </c>
      <c r="E47" s="222"/>
      <c r="F47" s="222">
        <f t="shared" si="16"/>
        <v>526</v>
      </c>
      <c r="G47" s="222">
        <f t="shared" si="17"/>
        <v>526</v>
      </c>
      <c r="H47" s="222">
        <f t="shared" si="17"/>
        <v>0</v>
      </c>
      <c r="I47" s="221">
        <f t="shared" si="3"/>
        <v>1</v>
      </c>
      <c r="J47" s="221">
        <f t="shared" si="3"/>
        <v>1</v>
      </c>
      <c r="K47" s="221"/>
      <c r="L47" s="215">
        <f t="shared" si="4"/>
        <v>0</v>
      </c>
    </row>
    <row r="48" spans="1:12" s="208" customFormat="1">
      <c r="A48" s="250" t="s">
        <v>19</v>
      </c>
      <c r="B48" s="227" t="s">
        <v>429</v>
      </c>
      <c r="C48" s="222">
        <v>40</v>
      </c>
      <c r="D48" s="222">
        <f t="shared" si="15"/>
        <v>40</v>
      </c>
      <c r="E48" s="222"/>
      <c r="F48" s="222">
        <f t="shared" si="16"/>
        <v>40</v>
      </c>
      <c r="G48" s="222">
        <f t="shared" si="17"/>
        <v>40</v>
      </c>
      <c r="H48" s="222">
        <f t="shared" si="17"/>
        <v>0</v>
      </c>
      <c r="I48" s="221">
        <f t="shared" si="3"/>
        <v>1</v>
      </c>
      <c r="J48" s="221">
        <f t="shared" si="3"/>
        <v>1</v>
      </c>
      <c r="K48" s="221"/>
      <c r="L48" s="215">
        <f t="shared" si="4"/>
        <v>0</v>
      </c>
    </row>
    <row r="49" spans="1:12" s="208" customFormat="1">
      <c r="A49" s="250" t="s">
        <v>19</v>
      </c>
      <c r="B49" s="227" t="s">
        <v>707</v>
      </c>
      <c r="C49" s="222">
        <v>40</v>
      </c>
      <c r="D49" s="222">
        <f t="shared" si="15"/>
        <v>40</v>
      </c>
      <c r="E49" s="222"/>
      <c r="F49" s="222">
        <f t="shared" si="16"/>
        <v>40</v>
      </c>
      <c r="G49" s="222">
        <f t="shared" si="17"/>
        <v>40</v>
      </c>
      <c r="H49" s="222">
        <f t="shared" si="17"/>
        <v>0</v>
      </c>
      <c r="I49" s="221">
        <f t="shared" si="3"/>
        <v>1</v>
      </c>
      <c r="J49" s="221">
        <f t="shared" si="3"/>
        <v>1</v>
      </c>
      <c r="K49" s="221"/>
      <c r="L49" s="215">
        <f t="shared" si="4"/>
        <v>0</v>
      </c>
    </row>
    <row r="50" spans="1:12" s="208" customFormat="1">
      <c r="A50" s="250" t="s">
        <v>19</v>
      </c>
      <c r="B50" s="227" t="s">
        <v>393</v>
      </c>
      <c r="C50" s="222">
        <v>40</v>
      </c>
      <c r="D50" s="222">
        <f t="shared" si="15"/>
        <v>40</v>
      </c>
      <c r="E50" s="222"/>
      <c r="F50" s="222">
        <f t="shared" si="16"/>
        <v>40</v>
      </c>
      <c r="G50" s="222">
        <f t="shared" si="17"/>
        <v>40</v>
      </c>
      <c r="H50" s="222">
        <f t="shared" si="17"/>
        <v>0</v>
      </c>
      <c r="I50" s="221">
        <f t="shared" si="3"/>
        <v>1</v>
      </c>
      <c r="J50" s="221">
        <f t="shared" si="3"/>
        <v>1</v>
      </c>
      <c r="K50" s="221"/>
      <c r="L50" s="215">
        <f t="shared" si="4"/>
        <v>0</v>
      </c>
    </row>
    <row r="51" spans="1:12" s="208" customFormat="1">
      <c r="A51" s="250" t="s">
        <v>19</v>
      </c>
      <c r="B51" s="227" t="s">
        <v>394</v>
      </c>
      <c r="C51" s="222">
        <v>45</v>
      </c>
      <c r="D51" s="222">
        <f t="shared" si="15"/>
        <v>45</v>
      </c>
      <c r="E51" s="222"/>
      <c r="F51" s="222">
        <f t="shared" si="16"/>
        <v>45</v>
      </c>
      <c r="G51" s="222">
        <f t="shared" si="17"/>
        <v>45</v>
      </c>
      <c r="H51" s="222">
        <f t="shared" si="17"/>
        <v>0</v>
      </c>
      <c r="I51" s="221">
        <f t="shared" si="3"/>
        <v>1</v>
      </c>
      <c r="J51" s="221">
        <f t="shared" si="3"/>
        <v>1</v>
      </c>
      <c r="K51" s="221"/>
      <c r="L51" s="215">
        <f t="shared" si="4"/>
        <v>0</v>
      </c>
    </row>
    <row r="52" spans="1:12" s="208" customFormat="1">
      <c r="A52" s="250" t="s">
        <v>19</v>
      </c>
      <c r="B52" s="227" t="s">
        <v>395</v>
      </c>
      <c r="C52" s="222">
        <v>100</v>
      </c>
      <c r="D52" s="222">
        <f t="shared" si="15"/>
        <v>100</v>
      </c>
      <c r="E52" s="222"/>
      <c r="F52" s="222">
        <f t="shared" si="16"/>
        <v>100</v>
      </c>
      <c r="G52" s="222">
        <f t="shared" si="17"/>
        <v>100</v>
      </c>
      <c r="H52" s="222">
        <f t="shared" si="17"/>
        <v>0</v>
      </c>
      <c r="I52" s="221">
        <f t="shared" si="3"/>
        <v>1</v>
      </c>
      <c r="J52" s="221">
        <f t="shared" si="3"/>
        <v>1</v>
      </c>
      <c r="K52" s="221"/>
      <c r="L52" s="215">
        <f t="shared" si="4"/>
        <v>0</v>
      </c>
    </row>
    <row r="53" spans="1:12" s="208" customFormat="1">
      <c r="A53" s="250" t="s">
        <v>19</v>
      </c>
      <c r="B53" s="227" t="s">
        <v>396</v>
      </c>
      <c r="C53" s="222">
        <v>55</v>
      </c>
      <c r="D53" s="222">
        <f t="shared" si="15"/>
        <v>55</v>
      </c>
      <c r="E53" s="222"/>
      <c r="F53" s="222">
        <f t="shared" si="16"/>
        <v>55</v>
      </c>
      <c r="G53" s="222">
        <f t="shared" si="17"/>
        <v>55</v>
      </c>
      <c r="H53" s="222">
        <f t="shared" si="17"/>
        <v>0</v>
      </c>
      <c r="I53" s="221">
        <f t="shared" si="3"/>
        <v>1</v>
      </c>
      <c r="J53" s="221">
        <f t="shared" si="3"/>
        <v>1</v>
      </c>
      <c r="K53" s="221"/>
      <c r="L53" s="215">
        <f t="shared" si="4"/>
        <v>0</v>
      </c>
    </row>
    <row r="54" spans="1:12" s="208" customFormat="1">
      <c r="A54" s="250" t="s">
        <v>19</v>
      </c>
      <c r="B54" s="227" t="s">
        <v>397</v>
      </c>
      <c r="C54" s="222">
        <v>50</v>
      </c>
      <c r="D54" s="222">
        <f t="shared" si="15"/>
        <v>50</v>
      </c>
      <c r="E54" s="222"/>
      <c r="F54" s="222">
        <f t="shared" si="16"/>
        <v>50</v>
      </c>
      <c r="G54" s="222">
        <f t="shared" si="17"/>
        <v>50</v>
      </c>
      <c r="H54" s="222">
        <f t="shared" si="17"/>
        <v>0</v>
      </c>
      <c r="I54" s="221">
        <f t="shared" si="3"/>
        <v>1</v>
      </c>
      <c r="J54" s="221">
        <f t="shared" si="3"/>
        <v>1</v>
      </c>
      <c r="K54" s="221"/>
      <c r="L54" s="215">
        <f t="shared" si="4"/>
        <v>0</v>
      </c>
    </row>
    <row r="55" spans="1:12" s="208" customFormat="1">
      <c r="A55" s="250" t="s">
        <v>19</v>
      </c>
      <c r="B55" s="227" t="s">
        <v>398</v>
      </c>
      <c r="C55" s="222">
        <v>32</v>
      </c>
      <c r="D55" s="222">
        <f t="shared" si="15"/>
        <v>32</v>
      </c>
      <c r="E55" s="222"/>
      <c r="F55" s="222">
        <f t="shared" si="16"/>
        <v>32</v>
      </c>
      <c r="G55" s="222">
        <f t="shared" si="17"/>
        <v>32</v>
      </c>
      <c r="H55" s="222">
        <f t="shared" si="17"/>
        <v>0</v>
      </c>
      <c r="I55" s="221">
        <f t="shared" si="3"/>
        <v>1</v>
      </c>
      <c r="J55" s="221">
        <f t="shared" si="3"/>
        <v>1</v>
      </c>
      <c r="K55" s="221"/>
      <c r="L55" s="215">
        <f t="shared" si="4"/>
        <v>0</v>
      </c>
    </row>
    <row r="56" spans="1:12" s="208" customFormat="1">
      <c r="A56" s="250" t="s">
        <v>19</v>
      </c>
      <c r="B56" s="227" t="s">
        <v>399</v>
      </c>
      <c r="C56" s="222">
        <v>32</v>
      </c>
      <c r="D56" s="222">
        <f t="shared" si="15"/>
        <v>32</v>
      </c>
      <c r="E56" s="222"/>
      <c r="F56" s="222">
        <f t="shared" si="16"/>
        <v>32</v>
      </c>
      <c r="G56" s="222">
        <f t="shared" si="17"/>
        <v>32</v>
      </c>
      <c r="H56" s="222">
        <f t="shared" si="17"/>
        <v>0</v>
      </c>
      <c r="I56" s="221">
        <f t="shared" si="3"/>
        <v>1</v>
      </c>
      <c r="J56" s="221">
        <f t="shared" si="3"/>
        <v>1</v>
      </c>
      <c r="K56" s="221"/>
      <c r="L56" s="215">
        <f t="shared" si="4"/>
        <v>0</v>
      </c>
    </row>
    <row r="57" spans="1:12" s="208" customFormat="1">
      <c r="A57" s="250" t="s">
        <v>19</v>
      </c>
      <c r="B57" s="227" t="s">
        <v>400</v>
      </c>
      <c r="C57" s="222">
        <v>32</v>
      </c>
      <c r="D57" s="222">
        <f t="shared" si="15"/>
        <v>32</v>
      </c>
      <c r="E57" s="222"/>
      <c r="F57" s="222">
        <f t="shared" si="16"/>
        <v>32</v>
      </c>
      <c r="G57" s="222">
        <f t="shared" si="17"/>
        <v>32</v>
      </c>
      <c r="H57" s="222">
        <f t="shared" si="17"/>
        <v>0</v>
      </c>
      <c r="I57" s="221">
        <f t="shared" si="3"/>
        <v>1</v>
      </c>
      <c r="J57" s="221">
        <f t="shared" si="3"/>
        <v>1</v>
      </c>
      <c r="K57" s="221"/>
      <c r="L57" s="215">
        <f t="shared" si="4"/>
        <v>0</v>
      </c>
    </row>
    <row r="58" spans="1:12" s="208" customFormat="1">
      <c r="A58" s="250" t="s">
        <v>19</v>
      </c>
      <c r="B58" s="227" t="s">
        <v>401</v>
      </c>
      <c r="C58" s="222">
        <v>35</v>
      </c>
      <c r="D58" s="222">
        <f t="shared" si="15"/>
        <v>35</v>
      </c>
      <c r="E58" s="222"/>
      <c r="F58" s="222">
        <f t="shared" si="16"/>
        <v>35</v>
      </c>
      <c r="G58" s="222">
        <f t="shared" si="17"/>
        <v>35</v>
      </c>
      <c r="H58" s="222">
        <f t="shared" si="17"/>
        <v>0</v>
      </c>
      <c r="I58" s="221">
        <f t="shared" si="3"/>
        <v>1</v>
      </c>
      <c r="J58" s="221">
        <f t="shared" si="3"/>
        <v>1</v>
      </c>
      <c r="K58" s="221"/>
      <c r="L58" s="215">
        <f t="shared" si="4"/>
        <v>0</v>
      </c>
    </row>
    <row r="59" spans="1:12" s="208" customFormat="1">
      <c r="A59" s="250" t="s">
        <v>19</v>
      </c>
      <c r="B59" s="227" t="s">
        <v>708</v>
      </c>
      <c r="C59" s="222">
        <v>25</v>
      </c>
      <c r="D59" s="222">
        <f>C59</f>
        <v>25</v>
      </c>
      <c r="E59" s="222"/>
      <c r="F59" s="222">
        <f t="shared" si="16"/>
        <v>25</v>
      </c>
      <c r="G59" s="222">
        <f t="shared" si="17"/>
        <v>25</v>
      </c>
      <c r="H59" s="222">
        <f t="shared" si="17"/>
        <v>0</v>
      </c>
      <c r="I59" s="221">
        <f t="shared" si="3"/>
        <v>1</v>
      </c>
      <c r="J59" s="221">
        <f t="shared" si="3"/>
        <v>1</v>
      </c>
      <c r="K59" s="221"/>
      <c r="L59" s="215">
        <f t="shared" si="4"/>
        <v>0</v>
      </c>
    </row>
    <row r="60" spans="1:12" s="208" customFormat="1">
      <c r="A60" s="250" t="s">
        <v>406</v>
      </c>
      <c r="B60" s="227" t="s">
        <v>407</v>
      </c>
      <c r="C60" s="222">
        <v>1084</v>
      </c>
      <c r="D60" s="222"/>
      <c r="E60" s="222">
        <f>C60</f>
        <v>1084</v>
      </c>
      <c r="F60" s="222">
        <f>G60+H60</f>
        <v>1084</v>
      </c>
      <c r="G60" s="222">
        <f t="shared" si="17"/>
        <v>0</v>
      </c>
      <c r="H60" s="222">
        <f t="shared" si="17"/>
        <v>1084</v>
      </c>
      <c r="I60" s="221">
        <f t="shared" si="3"/>
        <v>1</v>
      </c>
      <c r="J60" s="221"/>
      <c r="K60" s="221">
        <f>H60/E60</f>
        <v>1</v>
      </c>
      <c r="L60" s="215">
        <f t="shared" si="4"/>
        <v>0</v>
      </c>
    </row>
    <row r="61" spans="1:12" s="208" customFormat="1">
      <c r="A61" s="250">
        <v>2</v>
      </c>
      <c r="B61" s="227" t="s">
        <v>408</v>
      </c>
      <c r="C61" s="222">
        <f t="shared" ref="C61:H61" si="18">C62</f>
        <v>50909</v>
      </c>
      <c r="D61" s="222">
        <f t="shared" si="18"/>
        <v>50909</v>
      </c>
      <c r="E61" s="222">
        <f t="shared" si="18"/>
        <v>0</v>
      </c>
      <c r="F61" s="222">
        <f t="shared" si="18"/>
        <v>50909</v>
      </c>
      <c r="G61" s="222">
        <f t="shared" si="18"/>
        <v>50909</v>
      </c>
      <c r="H61" s="222">
        <f t="shared" si="18"/>
        <v>0</v>
      </c>
      <c r="I61" s="221">
        <f t="shared" si="3"/>
        <v>1</v>
      </c>
      <c r="J61" s="221">
        <f t="shared" si="3"/>
        <v>1</v>
      </c>
      <c r="K61" s="221"/>
      <c r="L61" s="215">
        <f t="shared" si="4"/>
        <v>0</v>
      </c>
    </row>
    <row r="62" spans="1:12" s="208" customFormat="1">
      <c r="A62" s="250" t="s">
        <v>19</v>
      </c>
      <c r="B62" s="227" t="s">
        <v>709</v>
      </c>
      <c r="C62" s="222">
        <f t="shared" ref="C62:H62" si="19">SUM(C63:C64)</f>
        <v>50909</v>
      </c>
      <c r="D62" s="222">
        <f t="shared" si="19"/>
        <v>50909</v>
      </c>
      <c r="E62" s="222">
        <f t="shared" si="19"/>
        <v>0</v>
      </c>
      <c r="F62" s="222">
        <f t="shared" si="19"/>
        <v>50909</v>
      </c>
      <c r="G62" s="222">
        <f t="shared" si="19"/>
        <v>50909</v>
      </c>
      <c r="H62" s="222">
        <f t="shared" si="19"/>
        <v>0</v>
      </c>
      <c r="I62" s="221">
        <f t="shared" si="3"/>
        <v>1</v>
      </c>
      <c r="J62" s="221">
        <f t="shared" si="3"/>
        <v>1</v>
      </c>
      <c r="K62" s="221"/>
      <c r="L62" s="215">
        <f t="shared" si="4"/>
        <v>0</v>
      </c>
    </row>
    <row r="63" spans="1:12" s="219" customFormat="1" ht="37.5">
      <c r="A63" s="255" t="s">
        <v>432</v>
      </c>
      <c r="B63" s="232" t="s">
        <v>409</v>
      </c>
      <c r="C63" s="231">
        <v>17000</v>
      </c>
      <c r="D63" s="231">
        <f>C63</f>
        <v>17000</v>
      </c>
      <c r="E63" s="231">
        <f>E64</f>
        <v>0</v>
      </c>
      <c r="F63" s="231">
        <f>G63+H63</f>
        <v>17000</v>
      </c>
      <c r="G63" s="231">
        <f>D63</f>
        <v>17000</v>
      </c>
      <c r="H63" s="231">
        <f>H64</f>
        <v>0</v>
      </c>
      <c r="I63" s="230">
        <f t="shared" si="3"/>
        <v>1</v>
      </c>
      <c r="J63" s="230">
        <f t="shared" si="3"/>
        <v>1</v>
      </c>
      <c r="K63" s="230"/>
      <c r="L63" s="215">
        <f t="shared" si="4"/>
        <v>0</v>
      </c>
    </row>
    <row r="64" spans="1:12" s="219" customFormat="1" ht="93.75">
      <c r="A64" s="255" t="s">
        <v>432</v>
      </c>
      <c r="B64" s="232" t="s">
        <v>710</v>
      </c>
      <c r="C64" s="231">
        <v>33909</v>
      </c>
      <c r="D64" s="231">
        <f>C64</f>
        <v>33909</v>
      </c>
      <c r="E64" s="231"/>
      <c r="F64" s="231">
        <f>G64+H64</f>
        <v>33909</v>
      </c>
      <c r="G64" s="231">
        <f>D64</f>
        <v>33909</v>
      </c>
      <c r="H64" s="231">
        <f>E64</f>
        <v>0</v>
      </c>
      <c r="I64" s="230">
        <f t="shared" si="3"/>
        <v>1</v>
      </c>
      <c r="J64" s="230">
        <f t="shared" si="3"/>
        <v>1</v>
      </c>
      <c r="K64" s="230"/>
      <c r="L64" s="215">
        <f t="shared" si="4"/>
        <v>0</v>
      </c>
    </row>
    <row r="65" spans="1:12" s="208" customFormat="1" ht="56.25">
      <c r="A65" s="161">
        <v>3</v>
      </c>
      <c r="B65" s="162" t="s">
        <v>412</v>
      </c>
      <c r="C65" s="222">
        <v>259</v>
      </c>
      <c r="D65" s="222">
        <f>C65</f>
        <v>259</v>
      </c>
      <c r="E65" s="222">
        <f>E66</f>
        <v>0</v>
      </c>
      <c r="F65" s="222">
        <f>G65+H65</f>
        <v>259</v>
      </c>
      <c r="G65" s="222">
        <f>D65</f>
        <v>259</v>
      </c>
      <c r="H65" s="222">
        <f>E65</f>
        <v>0</v>
      </c>
      <c r="I65" s="221">
        <f>F65/C65</f>
        <v>1</v>
      </c>
      <c r="J65" s="221">
        <f t="shared" ref="J65:J83" si="20">G65/D65</f>
        <v>1</v>
      </c>
      <c r="K65" s="221"/>
      <c r="L65" s="215">
        <f t="shared" si="4"/>
        <v>0</v>
      </c>
    </row>
    <row r="66" spans="1:12" s="208" customFormat="1">
      <c r="A66" s="250">
        <v>4</v>
      </c>
      <c r="B66" s="227" t="s">
        <v>413</v>
      </c>
      <c r="C66" s="222">
        <f t="shared" ref="C66:H66" si="21">SUM(C67:C69)</f>
        <v>1000</v>
      </c>
      <c r="D66" s="222">
        <f t="shared" si="21"/>
        <v>1000</v>
      </c>
      <c r="E66" s="222">
        <f t="shared" si="21"/>
        <v>0</v>
      </c>
      <c r="F66" s="222">
        <f t="shared" si="21"/>
        <v>1000</v>
      </c>
      <c r="G66" s="222">
        <f t="shared" si="21"/>
        <v>1000</v>
      </c>
      <c r="H66" s="222">
        <f t="shared" si="21"/>
        <v>0</v>
      </c>
      <c r="I66" s="221">
        <f>F66/C66</f>
        <v>1</v>
      </c>
      <c r="J66" s="221">
        <f t="shared" si="20"/>
        <v>1</v>
      </c>
      <c r="K66" s="221"/>
      <c r="L66" s="215">
        <f t="shared" si="4"/>
        <v>0</v>
      </c>
    </row>
    <row r="67" spans="1:12" s="208" customFormat="1">
      <c r="A67" s="250" t="s">
        <v>19</v>
      </c>
      <c r="B67" s="162" t="s">
        <v>271</v>
      </c>
      <c r="C67" s="222">
        <v>300</v>
      </c>
      <c r="D67" s="222">
        <f t="shared" ref="D67:D101" si="22">C67</f>
        <v>300</v>
      </c>
      <c r="E67" s="222"/>
      <c r="F67" s="222">
        <f>G67+H67</f>
        <v>300</v>
      </c>
      <c r="G67" s="222">
        <f t="shared" ref="G67:H69" si="23">D67</f>
        <v>300</v>
      </c>
      <c r="H67" s="222">
        <f t="shared" si="23"/>
        <v>0</v>
      </c>
      <c r="I67" s="221">
        <f>F67/C67</f>
        <v>1</v>
      </c>
      <c r="J67" s="221">
        <f t="shared" si="20"/>
        <v>1</v>
      </c>
      <c r="K67" s="221"/>
      <c r="L67" s="215">
        <f t="shared" si="4"/>
        <v>0</v>
      </c>
    </row>
    <row r="68" spans="1:12" s="208" customFormat="1">
      <c r="A68" s="250" t="s">
        <v>19</v>
      </c>
      <c r="B68" s="162" t="s">
        <v>414</v>
      </c>
      <c r="C68" s="222">
        <v>400</v>
      </c>
      <c r="D68" s="222">
        <f t="shared" si="22"/>
        <v>400</v>
      </c>
      <c r="E68" s="222"/>
      <c r="F68" s="222">
        <f>G68+H68</f>
        <v>400</v>
      </c>
      <c r="G68" s="222">
        <f t="shared" si="23"/>
        <v>400</v>
      </c>
      <c r="H68" s="222">
        <f t="shared" si="23"/>
        <v>0</v>
      </c>
      <c r="I68" s="221">
        <f>F68/C68</f>
        <v>1</v>
      </c>
      <c r="J68" s="221">
        <f t="shared" si="20"/>
        <v>1</v>
      </c>
      <c r="K68" s="221"/>
      <c r="L68" s="215">
        <f t="shared" si="4"/>
        <v>0</v>
      </c>
    </row>
    <row r="69" spans="1:12" s="208" customFormat="1">
      <c r="A69" s="250" t="s">
        <v>19</v>
      </c>
      <c r="B69" s="162" t="s">
        <v>415</v>
      </c>
      <c r="C69" s="222">
        <v>300</v>
      </c>
      <c r="D69" s="222">
        <f t="shared" si="22"/>
        <v>300</v>
      </c>
      <c r="E69" s="222"/>
      <c r="F69" s="222">
        <f>G69+H69</f>
        <v>300</v>
      </c>
      <c r="G69" s="222">
        <f t="shared" si="23"/>
        <v>300</v>
      </c>
      <c r="H69" s="222">
        <f t="shared" si="23"/>
        <v>0</v>
      </c>
      <c r="I69" s="221">
        <f>F69/C69</f>
        <v>1</v>
      </c>
      <c r="J69" s="221">
        <f t="shared" si="20"/>
        <v>1</v>
      </c>
      <c r="K69" s="221"/>
      <c r="L69" s="215">
        <f t="shared" si="4"/>
        <v>0</v>
      </c>
    </row>
    <row r="70" spans="1:12" s="208" customFormat="1">
      <c r="A70" s="250">
        <v>5</v>
      </c>
      <c r="B70" s="162" t="s">
        <v>416</v>
      </c>
      <c r="C70" s="222">
        <f t="shared" ref="C70:H70" si="24">C71+C84</f>
        <v>23995</v>
      </c>
      <c r="D70" s="222">
        <f t="shared" si="24"/>
        <v>23827</v>
      </c>
      <c r="E70" s="222">
        <f t="shared" si="24"/>
        <v>168</v>
      </c>
      <c r="F70" s="222">
        <f t="shared" si="24"/>
        <v>23995</v>
      </c>
      <c r="G70" s="222">
        <f t="shared" si="24"/>
        <v>23827</v>
      </c>
      <c r="H70" s="222">
        <f t="shared" si="24"/>
        <v>168</v>
      </c>
      <c r="I70" s="221">
        <f t="shared" ref="I70:I83" si="25">F70/C70</f>
        <v>1</v>
      </c>
      <c r="J70" s="221">
        <f t="shared" si="20"/>
        <v>1</v>
      </c>
      <c r="K70" s="221">
        <f>H70/E70</f>
        <v>1</v>
      </c>
      <c r="L70" s="215">
        <f t="shared" si="4"/>
        <v>0</v>
      </c>
    </row>
    <row r="71" spans="1:12" s="208" customFormat="1">
      <c r="A71" s="250" t="s">
        <v>388</v>
      </c>
      <c r="B71" s="227" t="s">
        <v>389</v>
      </c>
      <c r="C71" s="222">
        <f t="shared" ref="C71:H71" si="26">SUM(C72:C83)</f>
        <v>23827</v>
      </c>
      <c r="D71" s="222">
        <f t="shared" si="26"/>
        <v>23827</v>
      </c>
      <c r="E71" s="222">
        <f t="shared" si="26"/>
        <v>0</v>
      </c>
      <c r="F71" s="222">
        <f t="shared" si="26"/>
        <v>23827</v>
      </c>
      <c r="G71" s="222">
        <f t="shared" si="26"/>
        <v>23827</v>
      </c>
      <c r="H71" s="222">
        <f t="shared" si="26"/>
        <v>0</v>
      </c>
      <c r="I71" s="221">
        <f t="shared" si="25"/>
        <v>1</v>
      </c>
      <c r="J71" s="221">
        <f t="shared" si="20"/>
        <v>1</v>
      </c>
      <c r="K71" s="221"/>
      <c r="L71" s="215">
        <f t="shared" si="4"/>
        <v>0</v>
      </c>
    </row>
    <row r="72" spans="1:12" s="208" customFormat="1">
      <c r="A72" s="161" t="s">
        <v>19</v>
      </c>
      <c r="B72" s="162" t="s">
        <v>417</v>
      </c>
      <c r="C72" s="222">
        <v>400</v>
      </c>
      <c r="D72" s="222">
        <f t="shared" si="22"/>
        <v>400</v>
      </c>
      <c r="E72" s="222"/>
      <c r="F72" s="222">
        <f t="shared" ref="F72:F84" si="27">G72+H72</f>
        <v>400</v>
      </c>
      <c r="G72" s="222">
        <f t="shared" ref="G72:H84" si="28">D72</f>
        <v>400</v>
      </c>
      <c r="H72" s="222">
        <f t="shared" si="28"/>
        <v>0</v>
      </c>
      <c r="I72" s="221">
        <f t="shared" si="25"/>
        <v>1</v>
      </c>
      <c r="J72" s="221">
        <f t="shared" si="20"/>
        <v>1</v>
      </c>
      <c r="K72" s="221"/>
      <c r="L72" s="215">
        <f t="shared" si="4"/>
        <v>0</v>
      </c>
    </row>
    <row r="73" spans="1:12" s="208" customFormat="1">
      <c r="A73" s="161" t="s">
        <v>19</v>
      </c>
      <c r="B73" s="162" t="s">
        <v>144</v>
      </c>
      <c r="C73" s="222">
        <v>5186</v>
      </c>
      <c r="D73" s="222">
        <f t="shared" si="22"/>
        <v>5186</v>
      </c>
      <c r="E73" s="222"/>
      <c r="F73" s="222">
        <f t="shared" si="27"/>
        <v>5186</v>
      </c>
      <c r="G73" s="222">
        <f t="shared" si="28"/>
        <v>5186</v>
      </c>
      <c r="H73" s="222">
        <f t="shared" si="28"/>
        <v>0</v>
      </c>
      <c r="I73" s="221">
        <f t="shared" si="25"/>
        <v>1</v>
      </c>
      <c r="J73" s="221">
        <f t="shared" si="20"/>
        <v>1</v>
      </c>
      <c r="K73" s="221"/>
      <c r="L73" s="215">
        <f t="shared" si="4"/>
        <v>0</v>
      </c>
    </row>
    <row r="74" spans="1:12" s="208" customFormat="1">
      <c r="A74" s="161" t="s">
        <v>19</v>
      </c>
      <c r="B74" s="162" t="s">
        <v>418</v>
      </c>
      <c r="C74" s="222">
        <v>2560</v>
      </c>
      <c r="D74" s="222">
        <f t="shared" si="22"/>
        <v>2560</v>
      </c>
      <c r="E74" s="222"/>
      <c r="F74" s="222">
        <f t="shared" si="27"/>
        <v>2560</v>
      </c>
      <c r="G74" s="222">
        <f t="shared" si="28"/>
        <v>2560</v>
      </c>
      <c r="H74" s="222">
        <f t="shared" si="28"/>
        <v>0</v>
      </c>
      <c r="I74" s="221">
        <f t="shared" si="25"/>
        <v>1</v>
      </c>
      <c r="J74" s="221">
        <f t="shared" si="20"/>
        <v>1</v>
      </c>
      <c r="K74" s="221"/>
      <c r="L74" s="215">
        <f t="shared" si="4"/>
        <v>0</v>
      </c>
    </row>
    <row r="75" spans="1:12" s="208" customFormat="1">
      <c r="A75" s="161" t="s">
        <v>19</v>
      </c>
      <c r="B75" s="162" t="s">
        <v>419</v>
      </c>
      <c r="C75" s="222">
        <v>449</v>
      </c>
      <c r="D75" s="222">
        <f t="shared" si="22"/>
        <v>449</v>
      </c>
      <c r="E75" s="222"/>
      <c r="F75" s="222">
        <f t="shared" si="27"/>
        <v>449</v>
      </c>
      <c r="G75" s="222">
        <f t="shared" si="28"/>
        <v>449</v>
      </c>
      <c r="H75" s="222">
        <f t="shared" si="28"/>
        <v>0</v>
      </c>
      <c r="I75" s="221">
        <f t="shared" si="25"/>
        <v>1</v>
      </c>
      <c r="J75" s="221">
        <f t="shared" si="20"/>
        <v>1</v>
      </c>
      <c r="K75" s="221"/>
      <c r="L75" s="215">
        <f t="shared" ref="L75:L105" si="29">F75-G75-H75</f>
        <v>0</v>
      </c>
    </row>
    <row r="76" spans="1:12" s="208" customFormat="1">
      <c r="A76" s="161" t="s">
        <v>19</v>
      </c>
      <c r="B76" s="162" t="s">
        <v>420</v>
      </c>
      <c r="C76" s="222">
        <v>384</v>
      </c>
      <c r="D76" s="222">
        <f t="shared" si="22"/>
        <v>384</v>
      </c>
      <c r="E76" s="222"/>
      <c r="F76" s="222">
        <f t="shared" si="27"/>
        <v>384</v>
      </c>
      <c r="G76" s="222">
        <f t="shared" si="28"/>
        <v>384</v>
      </c>
      <c r="H76" s="222">
        <f t="shared" si="28"/>
        <v>0</v>
      </c>
      <c r="I76" s="221">
        <f t="shared" si="25"/>
        <v>1</v>
      </c>
      <c r="J76" s="221">
        <f t="shared" si="20"/>
        <v>1</v>
      </c>
      <c r="K76" s="221"/>
      <c r="L76" s="215">
        <f t="shared" si="29"/>
        <v>0</v>
      </c>
    </row>
    <row r="77" spans="1:12" s="208" customFormat="1">
      <c r="A77" s="161" t="s">
        <v>19</v>
      </c>
      <c r="B77" s="162" t="s">
        <v>421</v>
      </c>
      <c r="C77" s="222">
        <v>5393</v>
      </c>
      <c r="D77" s="222">
        <f t="shared" si="22"/>
        <v>5393</v>
      </c>
      <c r="E77" s="222"/>
      <c r="F77" s="222">
        <f t="shared" si="27"/>
        <v>5393</v>
      </c>
      <c r="G77" s="222">
        <f t="shared" si="28"/>
        <v>5393</v>
      </c>
      <c r="H77" s="222">
        <f t="shared" si="28"/>
        <v>0</v>
      </c>
      <c r="I77" s="221">
        <f t="shared" si="25"/>
        <v>1</v>
      </c>
      <c r="J77" s="221">
        <f t="shared" si="20"/>
        <v>1</v>
      </c>
      <c r="K77" s="221"/>
      <c r="L77" s="215">
        <f t="shared" si="29"/>
        <v>0</v>
      </c>
    </row>
    <row r="78" spans="1:12" s="208" customFormat="1">
      <c r="A78" s="161" t="s">
        <v>19</v>
      </c>
      <c r="B78" s="162" t="s">
        <v>422</v>
      </c>
      <c r="C78" s="222">
        <v>1102</v>
      </c>
      <c r="D78" s="222">
        <f t="shared" si="22"/>
        <v>1102</v>
      </c>
      <c r="E78" s="222"/>
      <c r="F78" s="222">
        <f t="shared" si="27"/>
        <v>1102</v>
      </c>
      <c r="G78" s="222">
        <f t="shared" si="28"/>
        <v>1102</v>
      </c>
      <c r="H78" s="222">
        <f t="shared" si="28"/>
        <v>0</v>
      </c>
      <c r="I78" s="221">
        <f t="shared" si="25"/>
        <v>1</v>
      </c>
      <c r="J78" s="221">
        <f t="shared" si="20"/>
        <v>1</v>
      </c>
      <c r="K78" s="221"/>
      <c r="L78" s="215">
        <f t="shared" si="29"/>
        <v>0</v>
      </c>
    </row>
    <row r="79" spans="1:12" s="208" customFormat="1">
      <c r="A79" s="161" t="s">
        <v>19</v>
      </c>
      <c r="B79" s="162" t="s">
        <v>423</v>
      </c>
      <c r="C79" s="222">
        <v>3254</v>
      </c>
      <c r="D79" s="222">
        <f t="shared" si="22"/>
        <v>3254</v>
      </c>
      <c r="E79" s="222"/>
      <c r="F79" s="222">
        <f t="shared" si="27"/>
        <v>3254</v>
      </c>
      <c r="G79" s="222">
        <f t="shared" si="28"/>
        <v>3254</v>
      </c>
      <c r="H79" s="222">
        <f t="shared" si="28"/>
        <v>0</v>
      </c>
      <c r="I79" s="221">
        <f t="shared" si="25"/>
        <v>1</v>
      </c>
      <c r="J79" s="221">
        <f t="shared" si="20"/>
        <v>1</v>
      </c>
      <c r="K79" s="221"/>
      <c r="L79" s="215">
        <f t="shared" si="29"/>
        <v>0</v>
      </c>
    </row>
    <row r="80" spans="1:12" s="208" customFormat="1">
      <c r="A80" s="161" t="s">
        <v>19</v>
      </c>
      <c r="B80" s="162" t="s">
        <v>424</v>
      </c>
      <c r="C80" s="222">
        <v>4237</v>
      </c>
      <c r="D80" s="222">
        <f t="shared" si="22"/>
        <v>4237</v>
      </c>
      <c r="E80" s="222"/>
      <c r="F80" s="222">
        <f t="shared" si="27"/>
        <v>4237</v>
      </c>
      <c r="G80" s="222">
        <f t="shared" si="28"/>
        <v>4237</v>
      </c>
      <c r="H80" s="222">
        <f t="shared" si="28"/>
        <v>0</v>
      </c>
      <c r="I80" s="221">
        <f t="shared" si="25"/>
        <v>1</v>
      </c>
      <c r="J80" s="221">
        <f t="shared" si="20"/>
        <v>1</v>
      </c>
      <c r="K80" s="221"/>
      <c r="L80" s="215">
        <f t="shared" si="29"/>
        <v>0</v>
      </c>
    </row>
    <row r="81" spans="1:12" s="208" customFormat="1">
      <c r="A81" s="161" t="s">
        <v>19</v>
      </c>
      <c r="B81" s="162" t="s">
        <v>711</v>
      </c>
      <c r="C81" s="222">
        <v>25</v>
      </c>
      <c r="D81" s="222">
        <f t="shared" si="22"/>
        <v>25</v>
      </c>
      <c r="E81" s="222"/>
      <c r="F81" s="222">
        <f t="shared" si="27"/>
        <v>25</v>
      </c>
      <c r="G81" s="222">
        <f t="shared" si="28"/>
        <v>25</v>
      </c>
      <c r="H81" s="222">
        <f t="shared" si="28"/>
        <v>0</v>
      </c>
      <c r="I81" s="221">
        <f t="shared" si="25"/>
        <v>1</v>
      </c>
      <c r="J81" s="221">
        <f t="shared" si="20"/>
        <v>1</v>
      </c>
      <c r="K81" s="221"/>
      <c r="L81" s="215">
        <f t="shared" si="29"/>
        <v>0</v>
      </c>
    </row>
    <row r="82" spans="1:12" s="208" customFormat="1">
      <c r="A82" s="161" t="s">
        <v>19</v>
      </c>
      <c r="B82" s="162" t="s">
        <v>425</v>
      </c>
      <c r="C82" s="222">
        <v>737</v>
      </c>
      <c r="D82" s="222">
        <f t="shared" si="22"/>
        <v>737</v>
      </c>
      <c r="E82" s="222"/>
      <c r="F82" s="222">
        <f t="shared" si="27"/>
        <v>737</v>
      </c>
      <c r="G82" s="222">
        <f t="shared" si="28"/>
        <v>737</v>
      </c>
      <c r="H82" s="222">
        <f t="shared" si="28"/>
        <v>0</v>
      </c>
      <c r="I82" s="221">
        <f t="shared" si="25"/>
        <v>1</v>
      </c>
      <c r="J82" s="221">
        <f t="shared" si="20"/>
        <v>1</v>
      </c>
      <c r="K82" s="221"/>
      <c r="L82" s="215">
        <f t="shared" si="29"/>
        <v>0</v>
      </c>
    </row>
    <row r="83" spans="1:12" s="208" customFormat="1">
      <c r="A83" s="161" t="s">
        <v>19</v>
      </c>
      <c r="B83" s="162" t="s">
        <v>713</v>
      </c>
      <c r="C83" s="222">
        <v>100</v>
      </c>
      <c r="D83" s="222">
        <f t="shared" si="22"/>
        <v>100</v>
      </c>
      <c r="E83" s="222"/>
      <c r="F83" s="222">
        <f t="shared" si="27"/>
        <v>100</v>
      </c>
      <c r="G83" s="222">
        <f t="shared" si="28"/>
        <v>100</v>
      </c>
      <c r="H83" s="222">
        <f t="shared" si="28"/>
        <v>0</v>
      </c>
      <c r="I83" s="221">
        <f t="shared" si="25"/>
        <v>1</v>
      </c>
      <c r="J83" s="221">
        <f t="shared" si="20"/>
        <v>1</v>
      </c>
      <c r="K83" s="221"/>
      <c r="L83" s="215">
        <f t="shared" si="29"/>
        <v>0</v>
      </c>
    </row>
    <row r="84" spans="1:12" s="208" customFormat="1">
      <c r="A84" s="250" t="s">
        <v>406</v>
      </c>
      <c r="B84" s="227" t="s">
        <v>407</v>
      </c>
      <c r="C84" s="222">
        <v>168</v>
      </c>
      <c r="D84" s="222"/>
      <c r="E84" s="222">
        <f>C84</f>
        <v>168</v>
      </c>
      <c r="F84" s="222">
        <f t="shared" si="27"/>
        <v>168</v>
      </c>
      <c r="G84" s="222">
        <f t="shared" si="28"/>
        <v>0</v>
      </c>
      <c r="H84" s="222">
        <f t="shared" si="28"/>
        <v>168</v>
      </c>
      <c r="I84" s="221">
        <f>F84/C84</f>
        <v>1</v>
      </c>
      <c r="J84" s="221"/>
      <c r="K84" s="221">
        <f>H84/E84</f>
        <v>1</v>
      </c>
      <c r="L84" s="215">
        <f t="shared" si="29"/>
        <v>0</v>
      </c>
    </row>
    <row r="85" spans="1:12" s="208" customFormat="1">
      <c r="A85" s="161">
        <v>6</v>
      </c>
      <c r="B85" s="162" t="s">
        <v>428</v>
      </c>
      <c r="C85" s="222">
        <f t="shared" ref="C85:H85" si="30">SUM(C86:C87)</f>
        <v>48480.727830000003</v>
      </c>
      <c r="D85" s="222">
        <f t="shared" si="30"/>
        <v>174.72782999999998</v>
      </c>
      <c r="E85" s="222">
        <f t="shared" si="30"/>
        <v>48306</v>
      </c>
      <c r="F85" s="222">
        <f t="shared" si="30"/>
        <v>48480.727830000003</v>
      </c>
      <c r="G85" s="222">
        <f t="shared" si="30"/>
        <v>174.72782999999998</v>
      </c>
      <c r="H85" s="222">
        <f t="shared" si="30"/>
        <v>48306</v>
      </c>
      <c r="I85" s="221">
        <f>F85/C85</f>
        <v>1</v>
      </c>
      <c r="J85" s="221">
        <f>G85/D85</f>
        <v>1</v>
      </c>
      <c r="K85" s="221">
        <f>H85/E85</f>
        <v>1</v>
      </c>
      <c r="L85" s="215">
        <f t="shared" si="29"/>
        <v>0</v>
      </c>
    </row>
    <row r="86" spans="1:12" s="208" customFormat="1">
      <c r="A86" s="161" t="s">
        <v>19</v>
      </c>
      <c r="B86" s="162" t="s">
        <v>429</v>
      </c>
      <c r="C86" s="222">
        <v>174.72782999999998</v>
      </c>
      <c r="D86" s="222">
        <f t="shared" si="22"/>
        <v>174.72782999999998</v>
      </c>
      <c r="E86" s="222"/>
      <c r="F86" s="222">
        <f>G86+H86</f>
        <v>174.72782999999998</v>
      </c>
      <c r="G86" s="222">
        <f>D86</f>
        <v>174.72782999999998</v>
      </c>
      <c r="H86" s="222">
        <f>E86</f>
        <v>0</v>
      </c>
      <c r="I86" s="221">
        <f>F86/C86</f>
        <v>1</v>
      </c>
      <c r="J86" s="221">
        <f>G86/D86</f>
        <v>1</v>
      </c>
      <c r="K86" s="221"/>
      <c r="L86" s="215">
        <f t="shared" si="29"/>
        <v>0</v>
      </c>
    </row>
    <row r="87" spans="1:12" s="208" customFormat="1">
      <c r="A87" s="161" t="s">
        <v>19</v>
      </c>
      <c r="B87" s="162" t="s">
        <v>407</v>
      </c>
      <c r="C87" s="222">
        <v>48306</v>
      </c>
      <c r="D87" s="222"/>
      <c r="E87" s="222">
        <f>C87</f>
        <v>48306</v>
      </c>
      <c r="F87" s="222">
        <f>G87+H87</f>
        <v>48306</v>
      </c>
      <c r="G87" s="222">
        <f>D87</f>
        <v>0</v>
      </c>
      <c r="H87" s="222">
        <f>E87</f>
        <v>48306</v>
      </c>
      <c r="I87" s="221">
        <f t="shared" ref="I87:K102" si="31">F87/C87</f>
        <v>1</v>
      </c>
      <c r="J87" s="221"/>
      <c r="K87" s="221">
        <f>H87/E87</f>
        <v>1</v>
      </c>
      <c r="L87" s="215">
        <f t="shared" si="29"/>
        <v>0</v>
      </c>
    </row>
    <row r="88" spans="1:12" s="208" customFormat="1">
      <c r="A88" s="161">
        <v>7</v>
      </c>
      <c r="B88" s="162" t="s">
        <v>431</v>
      </c>
      <c r="C88" s="222">
        <f t="shared" ref="C88:H88" si="32">C89+C102</f>
        <v>36324</v>
      </c>
      <c r="D88" s="222">
        <f t="shared" si="32"/>
        <v>26671</v>
      </c>
      <c r="E88" s="222">
        <f t="shared" si="32"/>
        <v>9653</v>
      </c>
      <c r="F88" s="222">
        <f t="shared" si="32"/>
        <v>36324</v>
      </c>
      <c r="G88" s="222">
        <f t="shared" si="32"/>
        <v>26671</v>
      </c>
      <c r="H88" s="222">
        <f t="shared" si="32"/>
        <v>9653</v>
      </c>
      <c r="I88" s="221">
        <f t="shared" si="31"/>
        <v>1</v>
      </c>
      <c r="J88" s="221">
        <f t="shared" si="31"/>
        <v>1</v>
      </c>
      <c r="K88" s="221">
        <f t="shared" si="31"/>
        <v>1</v>
      </c>
      <c r="L88" s="215">
        <f t="shared" si="29"/>
        <v>0</v>
      </c>
    </row>
    <row r="89" spans="1:12" s="208" customFormat="1">
      <c r="A89" s="161" t="s">
        <v>388</v>
      </c>
      <c r="B89" s="162" t="s">
        <v>389</v>
      </c>
      <c r="C89" s="222">
        <f t="shared" ref="C89:H89" si="33">C90+C94+C96</f>
        <v>26671</v>
      </c>
      <c r="D89" s="222">
        <f t="shared" si="33"/>
        <v>26671</v>
      </c>
      <c r="E89" s="222">
        <f t="shared" si="33"/>
        <v>0</v>
      </c>
      <c r="F89" s="222">
        <f t="shared" si="33"/>
        <v>26671</v>
      </c>
      <c r="G89" s="222">
        <f t="shared" si="33"/>
        <v>26671</v>
      </c>
      <c r="H89" s="222">
        <f t="shared" si="33"/>
        <v>0</v>
      </c>
      <c r="I89" s="221">
        <f t="shared" si="31"/>
        <v>1</v>
      </c>
      <c r="J89" s="221">
        <f t="shared" si="31"/>
        <v>1</v>
      </c>
      <c r="K89" s="221"/>
      <c r="L89" s="215">
        <f t="shared" si="29"/>
        <v>0</v>
      </c>
    </row>
    <row r="90" spans="1:12" s="208" customFormat="1">
      <c r="A90" s="161" t="s">
        <v>19</v>
      </c>
      <c r="B90" s="162" t="s">
        <v>146</v>
      </c>
      <c r="C90" s="222">
        <f t="shared" ref="C90:H90" si="34">SUM(C91:C93)</f>
        <v>7558</v>
      </c>
      <c r="D90" s="222">
        <f t="shared" si="34"/>
        <v>7558</v>
      </c>
      <c r="E90" s="222">
        <f t="shared" si="34"/>
        <v>0</v>
      </c>
      <c r="F90" s="222">
        <f t="shared" si="34"/>
        <v>7558</v>
      </c>
      <c r="G90" s="222">
        <f t="shared" si="34"/>
        <v>7558</v>
      </c>
      <c r="H90" s="222">
        <f t="shared" si="34"/>
        <v>0</v>
      </c>
      <c r="I90" s="221">
        <f t="shared" si="31"/>
        <v>1</v>
      </c>
      <c r="J90" s="221">
        <f t="shared" si="31"/>
        <v>1</v>
      </c>
      <c r="K90" s="221"/>
      <c r="L90" s="215">
        <f t="shared" si="29"/>
        <v>0</v>
      </c>
    </row>
    <row r="91" spans="1:12" s="219" customFormat="1" ht="56.25">
      <c r="A91" s="257" t="s">
        <v>432</v>
      </c>
      <c r="B91" s="258" t="s">
        <v>437</v>
      </c>
      <c r="C91" s="231">
        <v>2830</v>
      </c>
      <c r="D91" s="231">
        <f t="shared" si="22"/>
        <v>2830</v>
      </c>
      <c r="E91" s="231"/>
      <c r="F91" s="231">
        <f>G91+H91</f>
        <v>2830</v>
      </c>
      <c r="G91" s="231">
        <f t="shared" ref="G91:H93" si="35">D91</f>
        <v>2830</v>
      </c>
      <c r="H91" s="231">
        <f t="shared" si="35"/>
        <v>0</v>
      </c>
      <c r="I91" s="221">
        <f t="shared" si="31"/>
        <v>1</v>
      </c>
      <c r="J91" s="221">
        <f t="shared" si="31"/>
        <v>1</v>
      </c>
      <c r="K91" s="221"/>
      <c r="L91" s="215">
        <f t="shared" si="29"/>
        <v>0</v>
      </c>
    </row>
    <row r="92" spans="1:12" s="219" customFormat="1" ht="56.25">
      <c r="A92" s="257" t="s">
        <v>432</v>
      </c>
      <c r="B92" s="258" t="s">
        <v>438</v>
      </c>
      <c r="C92" s="231">
        <v>4634</v>
      </c>
      <c r="D92" s="231">
        <f t="shared" si="22"/>
        <v>4634</v>
      </c>
      <c r="E92" s="231"/>
      <c r="F92" s="231">
        <f>G92+H92</f>
        <v>4634</v>
      </c>
      <c r="G92" s="231">
        <f t="shared" si="35"/>
        <v>4634</v>
      </c>
      <c r="H92" s="231">
        <f t="shared" si="35"/>
        <v>0</v>
      </c>
      <c r="I92" s="221">
        <f t="shared" si="31"/>
        <v>1</v>
      </c>
      <c r="J92" s="221">
        <f t="shared" si="31"/>
        <v>1</v>
      </c>
      <c r="K92" s="221"/>
      <c r="L92" s="215">
        <f t="shared" si="29"/>
        <v>0</v>
      </c>
    </row>
    <row r="93" spans="1:12" s="219" customFormat="1" ht="56.25">
      <c r="A93" s="257" t="s">
        <v>432</v>
      </c>
      <c r="B93" s="258" t="s">
        <v>436</v>
      </c>
      <c r="C93" s="231">
        <v>94</v>
      </c>
      <c r="D93" s="231">
        <f t="shared" si="22"/>
        <v>94</v>
      </c>
      <c r="E93" s="231"/>
      <c r="F93" s="231">
        <f>G93+H93</f>
        <v>94</v>
      </c>
      <c r="G93" s="231">
        <f t="shared" si="35"/>
        <v>94</v>
      </c>
      <c r="H93" s="231">
        <f t="shared" si="35"/>
        <v>0</v>
      </c>
      <c r="I93" s="221">
        <f t="shared" si="31"/>
        <v>1</v>
      </c>
      <c r="J93" s="221">
        <f t="shared" si="31"/>
        <v>1</v>
      </c>
      <c r="K93" s="221"/>
      <c r="L93" s="215">
        <f t="shared" si="29"/>
        <v>0</v>
      </c>
    </row>
    <row r="94" spans="1:12" s="208" customFormat="1">
      <c r="A94" s="161" t="s">
        <v>19</v>
      </c>
      <c r="B94" s="162" t="s">
        <v>439</v>
      </c>
      <c r="C94" s="222">
        <f t="shared" ref="C94:H94" si="36">C95</f>
        <v>131</v>
      </c>
      <c r="D94" s="222">
        <f t="shared" si="36"/>
        <v>131</v>
      </c>
      <c r="E94" s="222">
        <f t="shared" si="36"/>
        <v>0</v>
      </c>
      <c r="F94" s="222">
        <f t="shared" si="36"/>
        <v>131</v>
      </c>
      <c r="G94" s="222">
        <f t="shared" si="36"/>
        <v>131</v>
      </c>
      <c r="H94" s="222">
        <f t="shared" si="36"/>
        <v>0</v>
      </c>
      <c r="I94" s="221">
        <f t="shared" si="31"/>
        <v>1</v>
      </c>
      <c r="J94" s="221">
        <f t="shared" si="31"/>
        <v>1</v>
      </c>
      <c r="K94" s="221"/>
      <c r="L94" s="215">
        <f t="shared" si="29"/>
        <v>0</v>
      </c>
    </row>
    <row r="95" spans="1:12" s="219" customFormat="1" ht="37.5">
      <c r="A95" s="257" t="s">
        <v>432</v>
      </c>
      <c r="B95" s="258" t="s">
        <v>441</v>
      </c>
      <c r="C95" s="231">
        <v>131</v>
      </c>
      <c r="D95" s="231">
        <f t="shared" si="22"/>
        <v>131</v>
      </c>
      <c r="E95" s="231"/>
      <c r="F95" s="231">
        <f>G95+H95</f>
        <v>131</v>
      </c>
      <c r="G95" s="231">
        <f>D95</f>
        <v>131</v>
      </c>
      <c r="H95" s="231">
        <f>E95</f>
        <v>0</v>
      </c>
      <c r="I95" s="221">
        <f t="shared" si="31"/>
        <v>1</v>
      </c>
      <c r="J95" s="221">
        <f t="shared" si="31"/>
        <v>1</v>
      </c>
      <c r="K95" s="221"/>
      <c r="L95" s="215">
        <f t="shared" si="29"/>
        <v>0</v>
      </c>
    </row>
    <row r="96" spans="1:12" s="208" customFormat="1">
      <c r="A96" s="161" t="s">
        <v>19</v>
      </c>
      <c r="B96" s="162" t="s">
        <v>442</v>
      </c>
      <c r="C96" s="222">
        <f t="shared" ref="C96:H96" si="37">SUM(C97:C101)</f>
        <v>18982</v>
      </c>
      <c r="D96" s="222">
        <f t="shared" si="37"/>
        <v>18982</v>
      </c>
      <c r="E96" s="222">
        <f t="shared" si="37"/>
        <v>0</v>
      </c>
      <c r="F96" s="222">
        <f t="shared" si="37"/>
        <v>18982</v>
      </c>
      <c r="G96" s="222">
        <f t="shared" si="37"/>
        <v>18982</v>
      </c>
      <c r="H96" s="222">
        <f t="shared" si="37"/>
        <v>0</v>
      </c>
      <c r="I96" s="221">
        <f t="shared" si="31"/>
        <v>1</v>
      </c>
      <c r="J96" s="221">
        <f t="shared" si="31"/>
        <v>1</v>
      </c>
      <c r="K96" s="221"/>
      <c r="L96" s="215">
        <f t="shared" si="29"/>
        <v>0</v>
      </c>
    </row>
    <row r="97" spans="1:12" s="219" customFormat="1">
      <c r="A97" s="257" t="s">
        <v>432</v>
      </c>
      <c r="B97" s="258" t="s">
        <v>443</v>
      </c>
      <c r="C97" s="231">
        <v>4591</v>
      </c>
      <c r="D97" s="231">
        <f t="shared" si="22"/>
        <v>4591</v>
      </c>
      <c r="E97" s="231"/>
      <c r="F97" s="231">
        <f t="shared" ref="F97:F101" si="38">G97+H97</f>
        <v>4591</v>
      </c>
      <c r="G97" s="231">
        <f t="shared" ref="G97:H102" si="39">D97</f>
        <v>4591</v>
      </c>
      <c r="H97" s="231">
        <f t="shared" si="39"/>
        <v>0</v>
      </c>
      <c r="I97" s="221">
        <f t="shared" si="31"/>
        <v>1</v>
      </c>
      <c r="J97" s="221">
        <f t="shared" si="31"/>
        <v>1</v>
      </c>
      <c r="K97" s="221"/>
      <c r="L97" s="215">
        <f t="shared" si="29"/>
        <v>0</v>
      </c>
    </row>
    <row r="98" spans="1:12" s="219" customFormat="1" ht="37.5">
      <c r="A98" s="257" t="s">
        <v>432</v>
      </c>
      <c r="B98" s="258" t="s">
        <v>444</v>
      </c>
      <c r="C98" s="231">
        <v>3645</v>
      </c>
      <c r="D98" s="231">
        <f t="shared" si="22"/>
        <v>3645</v>
      </c>
      <c r="E98" s="231"/>
      <c r="F98" s="231">
        <f t="shared" si="38"/>
        <v>3645</v>
      </c>
      <c r="G98" s="231">
        <f t="shared" si="39"/>
        <v>3645</v>
      </c>
      <c r="H98" s="231">
        <f t="shared" si="39"/>
        <v>0</v>
      </c>
      <c r="I98" s="221">
        <f t="shared" si="31"/>
        <v>1</v>
      </c>
      <c r="J98" s="221">
        <f t="shared" si="31"/>
        <v>1</v>
      </c>
      <c r="K98" s="221"/>
      <c r="L98" s="215">
        <f t="shared" si="29"/>
        <v>0</v>
      </c>
    </row>
    <row r="99" spans="1:12" s="219" customFormat="1">
      <c r="A99" s="257" t="s">
        <v>432</v>
      </c>
      <c r="B99" s="258" t="s">
        <v>445</v>
      </c>
      <c r="C99" s="231">
        <v>3</v>
      </c>
      <c r="D99" s="231">
        <f t="shared" si="22"/>
        <v>3</v>
      </c>
      <c r="E99" s="231"/>
      <c r="F99" s="231">
        <f t="shared" si="38"/>
        <v>3</v>
      </c>
      <c r="G99" s="231">
        <f t="shared" si="39"/>
        <v>3</v>
      </c>
      <c r="H99" s="231">
        <f t="shared" si="39"/>
        <v>0</v>
      </c>
      <c r="I99" s="221">
        <f t="shared" si="31"/>
        <v>1</v>
      </c>
      <c r="J99" s="221">
        <f t="shared" si="31"/>
        <v>1</v>
      </c>
      <c r="K99" s="221"/>
      <c r="L99" s="215">
        <f t="shared" si="29"/>
        <v>0</v>
      </c>
    </row>
    <row r="100" spans="1:12" s="219" customFormat="1">
      <c r="A100" s="257" t="s">
        <v>432</v>
      </c>
      <c r="B100" s="258" t="s">
        <v>446</v>
      </c>
      <c r="C100" s="231">
        <v>3516</v>
      </c>
      <c r="D100" s="231">
        <f t="shared" si="22"/>
        <v>3516</v>
      </c>
      <c r="E100" s="231"/>
      <c r="F100" s="231">
        <f t="shared" si="38"/>
        <v>3516</v>
      </c>
      <c r="G100" s="231">
        <f t="shared" si="39"/>
        <v>3516</v>
      </c>
      <c r="H100" s="231">
        <f t="shared" si="39"/>
        <v>0</v>
      </c>
      <c r="I100" s="221">
        <f t="shared" si="31"/>
        <v>1</v>
      </c>
      <c r="J100" s="221">
        <f t="shared" si="31"/>
        <v>1</v>
      </c>
      <c r="K100" s="221"/>
      <c r="L100" s="215">
        <f t="shared" si="29"/>
        <v>0</v>
      </c>
    </row>
    <row r="101" spans="1:12" s="219" customFormat="1">
      <c r="A101" s="257" t="s">
        <v>432</v>
      </c>
      <c r="B101" s="258" t="s">
        <v>450</v>
      </c>
      <c r="C101" s="231">
        <v>7227</v>
      </c>
      <c r="D101" s="231">
        <f t="shared" si="22"/>
        <v>7227</v>
      </c>
      <c r="E101" s="231"/>
      <c r="F101" s="231">
        <f t="shared" si="38"/>
        <v>7227</v>
      </c>
      <c r="G101" s="231">
        <f t="shared" si="39"/>
        <v>7227</v>
      </c>
      <c r="H101" s="231">
        <f t="shared" si="39"/>
        <v>0</v>
      </c>
      <c r="I101" s="221">
        <f t="shared" si="31"/>
        <v>1</v>
      </c>
      <c r="J101" s="221">
        <f t="shared" si="31"/>
        <v>1</v>
      </c>
      <c r="K101" s="221"/>
      <c r="L101" s="215">
        <f t="shared" si="29"/>
        <v>0</v>
      </c>
    </row>
    <row r="102" spans="1:12" s="208" customFormat="1">
      <c r="A102" s="161" t="s">
        <v>406</v>
      </c>
      <c r="B102" s="162" t="s">
        <v>407</v>
      </c>
      <c r="C102" s="222">
        <v>9653</v>
      </c>
      <c r="D102" s="222"/>
      <c r="E102" s="222">
        <f>C102</f>
        <v>9653</v>
      </c>
      <c r="F102" s="222">
        <f>G102+H102</f>
        <v>9653</v>
      </c>
      <c r="G102" s="222">
        <f t="shared" si="39"/>
        <v>0</v>
      </c>
      <c r="H102" s="222">
        <f t="shared" si="39"/>
        <v>9653</v>
      </c>
      <c r="I102" s="221">
        <f t="shared" si="31"/>
        <v>1</v>
      </c>
      <c r="J102" s="221"/>
      <c r="K102" s="221">
        <f t="shared" si="31"/>
        <v>1</v>
      </c>
      <c r="L102" s="215">
        <f t="shared" si="29"/>
        <v>0</v>
      </c>
    </row>
    <row r="103" spans="1:12" s="208" customFormat="1" ht="56.25">
      <c r="A103" s="161">
        <v>8</v>
      </c>
      <c r="B103" s="162" t="s">
        <v>981</v>
      </c>
      <c r="C103" s="222"/>
      <c r="D103" s="222"/>
      <c r="E103" s="222"/>
      <c r="F103" s="222">
        <f t="shared" ref="F103:F105" si="40">G103+H103</f>
        <v>46228</v>
      </c>
      <c r="G103" s="222">
        <v>30331</v>
      </c>
      <c r="H103" s="222">
        <v>15897</v>
      </c>
      <c r="I103" s="221"/>
      <c r="J103" s="221"/>
      <c r="K103" s="221"/>
      <c r="L103" s="215">
        <f t="shared" si="29"/>
        <v>0</v>
      </c>
    </row>
    <row r="104" spans="1:12" s="208" customFormat="1">
      <c r="A104" s="161">
        <v>9</v>
      </c>
      <c r="B104" s="162" t="s">
        <v>982</v>
      </c>
      <c r="C104" s="222"/>
      <c r="D104" s="222"/>
      <c r="E104" s="222"/>
      <c r="F104" s="222">
        <f t="shared" si="40"/>
        <v>130000</v>
      </c>
      <c r="G104" s="222">
        <v>130000</v>
      </c>
      <c r="H104" s="222"/>
      <c r="I104" s="221"/>
      <c r="J104" s="221"/>
      <c r="K104" s="221"/>
      <c r="L104" s="215">
        <f t="shared" si="29"/>
        <v>0</v>
      </c>
    </row>
    <row r="105" spans="1:12" s="208" customFormat="1">
      <c r="A105" s="161">
        <v>10</v>
      </c>
      <c r="B105" s="162" t="s">
        <v>983</v>
      </c>
      <c r="C105" s="222"/>
      <c r="D105" s="222"/>
      <c r="E105" s="222"/>
      <c r="F105" s="222">
        <f t="shared" si="40"/>
        <v>30254.272170000011</v>
      </c>
      <c r="G105" s="222">
        <v>30254.272170000011</v>
      </c>
      <c r="H105" s="222"/>
      <c r="I105" s="221"/>
      <c r="J105" s="221"/>
      <c r="K105" s="221"/>
      <c r="L105" s="215">
        <f t="shared" si="29"/>
        <v>0</v>
      </c>
    </row>
    <row r="106" spans="1:12" s="217" customFormat="1" ht="21" customHeight="1">
      <c r="A106" s="225" t="s">
        <v>75</v>
      </c>
      <c r="B106" s="224" t="s">
        <v>794</v>
      </c>
      <c r="C106" s="571"/>
      <c r="D106" s="223"/>
      <c r="E106" s="223"/>
      <c r="F106" s="223">
        <f>'PL14'!D104</f>
        <v>3986753.4</v>
      </c>
      <c r="G106" s="223">
        <f>F106</f>
        <v>3986753.4</v>
      </c>
      <c r="H106" s="223">
        <f>F106-G106</f>
        <v>0</v>
      </c>
      <c r="I106" s="226"/>
      <c r="J106" s="226"/>
      <c r="K106" s="226"/>
    </row>
    <row r="107" spans="1:12" s="217" customFormat="1" ht="21" customHeight="1">
      <c r="A107" s="572" t="s">
        <v>540</v>
      </c>
      <c r="B107" s="573" t="s">
        <v>1075</v>
      </c>
      <c r="C107" s="574"/>
      <c r="D107" s="581"/>
      <c r="E107" s="581"/>
      <c r="F107" s="223">
        <f>'PL14'!D105</f>
        <v>178867.80000000002</v>
      </c>
      <c r="G107" s="223">
        <f>F107</f>
        <v>178867.80000000002</v>
      </c>
      <c r="H107" s="223">
        <f>F107-G107</f>
        <v>0</v>
      </c>
      <c r="I107" s="582"/>
      <c r="J107" s="582"/>
      <c r="K107" s="582"/>
    </row>
    <row r="108" spans="1:12" s="208" customFormat="1" ht="15.95" customHeight="1">
      <c r="A108" s="220"/>
      <c r="B108" s="220"/>
      <c r="C108" s="220"/>
      <c r="D108" s="220"/>
      <c r="E108" s="220"/>
      <c r="F108" s="220"/>
      <c r="G108" s="220"/>
      <c r="H108" s="220"/>
      <c r="I108" s="220"/>
      <c r="J108" s="220"/>
      <c r="K108" s="220"/>
    </row>
    <row r="109" spans="1:12" ht="41.25" customHeight="1">
      <c r="A109" s="564" t="s">
        <v>795</v>
      </c>
      <c r="B109" s="564"/>
    </row>
    <row r="110" spans="1:12" ht="9.75" customHeight="1">
      <c r="A110" s="564"/>
      <c r="B110" s="564"/>
    </row>
    <row r="111" spans="1:12" ht="18.75" customHeight="1">
      <c r="A111" s="564"/>
      <c r="G111" s="215"/>
    </row>
    <row r="112" spans="1:12">
      <c r="G112" s="215"/>
    </row>
  </sheetData>
  <mergeCells count="18">
    <mergeCell ref="G6:G8"/>
    <mergeCell ref="H6:H8"/>
    <mergeCell ref="I6:I8"/>
    <mergeCell ref="J6:J8"/>
    <mergeCell ref="K6:K8"/>
    <mergeCell ref="J1:K1"/>
    <mergeCell ref="A2:K2"/>
    <mergeCell ref="A3:K3"/>
    <mergeCell ref="F4:K4"/>
    <mergeCell ref="A5:A8"/>
    <mergeCell ref="B5:B8"/>
    <mergeCell ref="C5:C8"/>
    <mergeCell ref="D5:E5"/>
    <mergeCell ref="F5:F8"/>
    <mergeCell ref="G5:H5"/>
    <mergeCell ref="I5:K5"/>
    <mergeCell ref="D6:D8"/>
    <mergeCell ref="E6:E8"/>
  </mergeCells>
  <dataValidations count="1">
    <dataValidation allowBlank="1" showInputMessage="1" showErrorMessage="1" prompt="QĐ số 627/QĐ-UBND ngày 04 tháng 10 năm 2022 của UBND tỉnh; Thông báo Kết luận số 46/TB-TTHĐND ngày 16 tháng 9 năm 2022 của Thường trực Hội đồng" sqref="C62 IY62 SU62 ACQ62 AMM62 AWI62 BGE62 BQA62 BZW62 CJS62 CTO62 DDK62 DNG62 DXC62 EGY62 EQU62 FAQ62 FKM62 FUI62 GEE62 GOA62 GXW62 HHS62 HRO62 IBK62 ILG62 IVC62 JEY62 JOU62 JYQ62 KIM62 KSI62 LCE62 LMA62 LVW62 MFS62 MPO62 MZK62 NJG62 NTC62 OCY62 OMU62 OWQ62 PGM62 PQI62 QAE62 QKA62 QTW62 RDS62 RNO62 RXK62 SHG62 SRC62 TAY62 TKU62 TUQ62 UEM62 UOI62 UYE62 VIA62 VRW62 WBS62 WLO62 WVK62 C65602 IY65602 SU65602 ACQ65602 AMM65602 AWI65602 BGE65602 BQA65602 BZW65602 CJS65602 CTO65602 DDK65602 DNG65602 DXC65602 EGY65602 EQU65602 FAQ65602 FKM65602 FUI65602 GEE65602 GOA65602 GXW65602 HHS65602 HRO65602 IBK65602 ILG65602 IVC65602 JEY65602 JOU65602 JYQ65602 KIM65602 KSI65602 LCE65602 LMA65602 LVW65602 MFS65602 MPO65602 MZK65602 NJG65602 NTC65602 OCY65602 OMU65602 OWQ65602 PGM65602 PQI65602 QAE65602 QKA65602 QTW65602 RDS65602 RNO65602 RXK65602 SHG65602 SRC65602 TAY65602 TKU65602 TUQ65602 UEM65602 UOI65602 UYE65602 VIA65602 VRW65602 WBS65602 WLO65602 WVK65602 C131138 IY131138 SU131138 ACQ131138 AMM131138 AWI131138 BGE131138 BQA131138 BZW131138 CJS131138 CTO131138 DDK131138 DNG131138 DXC131138 EGY131138 EQU131138 FAQ131138 FKM131138 FUI131138 GEE131138 GOA131138 GXW131138 HHS131138 HRO131138 IBK131138 ILG131138 IVC131138 JEY131138 JOU131138 JYQ131138 KIM131138 KSI131138 LCE131138 LMA131138 LVW131138 MFS131138 MPO131138 MZK131138 NJG131138 NTC131138 OCY131138 OMU131138 OWQ131138 PGM131138 PQI131138 QAE131138 QKA131138 QTW131138 RDS131138 RNO131138 RXK131138 SHG131138 SRC131138 TAY131138 TKU131138 TUQ131138 UEM131138 UOI131138 UYE131138 VIA131138 VRW131138 WBS131138 WLO131138 WVK131138 C196674 IY196674 SU196674 ACQ196674 AMM196674 AWI196674 BGE196674 BQA196674 BZW196674 CJS196674 CTO196674 DDK196674 DNG196674 DXC196674 EGY196674 EQU196674 FAQ196674 FKM196674 FUI196674 GEE196674 GOA196674 GXW196674 HHS196674 HRO196674 IBK196674 ILG196674 IVC196674 JEY196674 JOU196674 JYQ196674 KIM196674 KSI196674 LCE196674 LMA196674 LVW196674 MFS196674 MPO196674 MZK196674 NJG196674 NTC196674 OCY196674 OMU196674 OWQ196674 PGM196674 PQI196674 QAE196674 QKA196674 QTW196674 RDS196674 RNO196674 RXK196674 SHG196674 SRC196674 TAY196674 TKU196674 TUQ196674 UEM196674 UOI196674 UYE196674 VIA196674 VRW196674 WBS196674 WLO196674 WVK196674 C262210 IY262210 SU262210 ACQ262210 AMM262210 AWI262210 BGE262210 BQA262210 BZW262210 CJS262210 CTO262210 DDK262210 DNG262210 DXC262210 EGY262210 EQU262210 FAQ262210 FKM262210 FUI262210 GEE262210 GOA262210 GXW262210 HHS262210 HRO262210 IBK262210 ILG262210 IVC262210 JEY262210 JOU262210 JYQ262210 KIM262210 KSI262210 LCE262210 LMA262210 LVW262210 MFS262210 MPO262210 MZK262210 NJG262210 NTC262210 OCY262210 OMU262210 OWQ262210 PGM262210 PQI262210 QAE262210 QKA262210 QTW262210 RDS262210 RNO262210 RXK262210 SHG262210 SRC262210 TAY262210 TKU262210 TUQ262210 UEM262210 UOI262210 UYE262210 VIA262210 VRW262210 WBS262210 WLO262210 WVK262210 C327746 IY327746 SU327746 ACQ327746 AMM327746 AWI327746 BGE327746 BQA327746 BZW327746 CJS327746 CTO327746 DDK327746 DNG327746 DXC327746 EGY327746 EQU327746 FAQ327746 FKM327746 FUI327746 GEE327746 GOA327746 GXW327746 HHS327746 HRO327746 IBK327746 ILG327746 IVC327746 JEY327746 JOU327746 JYQ327746 KIM327746 KSI327746 LCE327746 LMA327746 LVW327746 MFS327746 MPO327746 MZK327746 NJG327746 NTC327746 OCY327746 OMU327746 OWQ327746 PGM327746 PQI327746 QAE327746 QKA327746 QTW327746 RDS327746 RNO327746 RXK327746 SHG327746 SRC327746 TAY327746 TKU327746 TUQ327746 UEM327746 UOI327746 UYE327746 VIA327746 VRW327746 WBS327746 WLO327746 WVK327746 C393282 IY393282 SU393282 ACQ393282 AMM393282 AWI393282 BGE393282 BQA393282 BZW393282 CJS393282 CTO393282 DDK393282 DNG393282 DXC393282 EGY393282 EQU393282 FAQ393282 FKM393282 FUI393282 GEE393282 GOA393282 GXW393282 HHS393282 HRO393282 IBK393282 ILG393282 IVC393282 JEY393282 JOU393282 JYQ393282 KIM393282 KSI393282 LCE393282 LMA393282 LVW393282 MFS393282 MPO393282 MZK393282 NJG393282 NTC393282 OCY393282 OMU393282 OWQ393282 PGM393282 PQI393282 QAE393282 QKA393282 QTW393282 RDS393282 RNO393282 RXK393282 SHG393282 SRC393282 TAY393282 TKU393282 TUQ393282 UEM393282 UOI393282 UYE393282 VIA393282 VRW393282 WBS393282 WLO393282 WVK393282 C458818 IY458818 SU458818 ACQ458818 AMM458818 AWI458818 BGE458818 BQA458818 BZW458818 CJS458818 CTO458818 DDK458818 DNG458818 DXC458818 EGY458818 EQU458818 FAQ458818 FKM458818 FUI458818 GEE458818 GOA458818 GXW458818 HHS458818 HRO458818 IBK458818 ILG458818 IVC458818 JEY458818 JOU458818 JYQ458818 KIM458818 KSI458818 LCE458818 LMA458818 LVW458818 MFS458818 MPO458818 MZK458818 NJG458818 NTC458818 OCY458818 OMU458818 OWQ458818 PGM458818 PQI458818 QAE458818 QKA458818 QTW458818 RDS458818 RNO458818 RXK458818 SHG458818 SRC458818 TAY458818 TKU458818 TUQ458818 UEM458818 UOI458818 UYE458818 VIA458818 VRW458818 WBS458818 WLO458818 WVK458818 C524354 IY524354 SU524354 ACQ524354 AMM524354 AWI524354 BGE524354 BQA524354 BZW524354 CJS524354 CTO524354 DDK524354 DNG524354 DXC524354 EGY524354 EQU524354 FAQ524354 FKM524354 FUI524354 GEE524354 GOA524354 GXW524354 HHS524354 HRO524354 IBK524354 ILG524354 IVC524354 JEY524354 JOU524354 JYQ524354 KIM524354 KSI524354 LCE524354 LMA524354 LVW524354 MFS524354 MPO524354 MZK524354 NJG524354 NTC524354 OCY524354 OMU524354 OWQ524354 PGM524354 PQI524354 QAE524354 QKA524354 QTW524354 RDS524354 RNO524354 RXK524354 SHG524354 SRC524354 TAY524354 TKU524354 TUQ524354 UEM524354 UOI524354 UYE524354 VIA524354 VRW524354 WBS524354 WLO524354 WVK524354 C589890 IY589890 SU589890 ACQ589890 AMM589890 AWI589890 BGE589890 BQA589890 BZW589890 CJS589890 CTO589890 DDK589890 DNG589890 DXC589890 EGY589890 EQU589890 FAQ589890 FKM589890 FUI589890 GEE589890 GOA589890 GXW589890 HHS589890 HRO589890 IBK589890 ILG589890 IVC589890 JEY589890 JOU589890 JYQ589890 KIM589890 KSI589890 LCE589890 LMA589890 LVW589890 MFS589890 MPO589890 MZK589890 NJG589890 NTC589890 OCY589890 OMU589890 OWQ589890 PGM589890 PQI589890 QAE589890 QKA589890 QTW589890 RDS589890 RNO589890 RXK589890 SHG589890 SRC589890 TAY589890 TKU589890 TUQ589890 UEM589890 UOI589890 UYE589890 VIA589890 VRW589890 WBS589890 WLO589890 WVK589890 C655426 IY655426 SU655426 ACQ655426 AMM655426 AWI655426 BGE655426 BQA655426 BZW655426 CJS655426 CTO655426 DDK655426 DNG655426 DXC655426 EGY655426 EQU655426 FAQ655426 FKM655426 FUI655426 GEE655426 GOA655426 GXW655426 HHS655426 HRO655426 IBK655426 ILG655426 IVC655426 JEY655426 JOU655426 JYQ655426 KIM655426 KSI655426 LCE655426 LMA655426 LVW655426 MFS655426 MPO655426 MZK655426 NJG655426 NTC655426 OCY655426 OMU655426 OWQ655426 PGM655426 PQI655426 QAE655426 QKA655426 QTW655426 RDS655426 RNO655426 RXK655426 SHG655426 SRC655426 TAY655426 TKU655426 TUQ655426 UEM655426 UOI655426 UYE655426 VIA655426 VRW655426 WBS655426 WLO655426 WVK655426 C720962 IY720962 SU720962 ACQ720962 AMM720962 AWI720962 BGE720962 BQA720962 BZW720962 CJS720962 CTO720962 DDK720962 DNG720962 DXC720962 EGY720962 EQU720962 FAQ720962 FKM720962 FUI720962 GEE720962 GOA720962 GXW720962 HHS720962 HRO720962 IBK720962 ILG720962 IVC720962 JEY720962 JOU720962 JYQ720962 KIM720962 KSI720962 LCE720962 LMA720962 LVW720962 MFS720962 MPO720962 MZK720962 NJG720962 NTC720962 OCY720962 OMU720962 OWQ720962 PGM720962 PQI720962 QAE720962 QKA720962 QTW720962 RDS720962 RNO720962 RXK720962 SHG720962 SRC720962 TAY720962 TKU720962 TUQ720962 UEM720962 UOI720962 UYE720962 VIA720962 VRW720962 WBS720962 WLO720962 WVK720962 C786498 IY786498 SU786498 ACQ786498 AMM786498 AWI786498 BGE786498 BQA786498 BZW786498 CJS786498 CTO786498 DDK786498 DNG786498 DXC786498 EGY786498 EQU786498 FAQ786498 FKM786498 FUI786498 GEE786498 GOA786498 GXW786498 HHS786498 HRO786498 IBK786498 ILG786498 IVC786498 JEY786498 JOU786498 JYQ786498 KIM786498 KSI786498 LCE786498 LMA786498 LVW786498 MFS786498 MPO786498 MZK786498 NJG786498 NTC786498 OCY786498 OMU786498 OWQ786498 PGM786498 PQI786498 QAE786498 QKA786498 QTW786498 RDS786498 RNO786498 RXK786498 SHG786498 SRC786498 TAY786498 TKU786498 TUQ786498 UEM786498 UOI786498 UYE786498 VIA786498 VRW786498 WBS786498 WLO786498 WVK786498 C852034 IY852034 SU852034 ACQ852034 AMM852034 AWI852034 BGE852034 BQA852034 BZW852034 CJS852034 CTO852034 DDK852034 DNG852034 DXC852034 EGY852034 EQU852034 FAQ852034 FKM852034 FUI852034 GEE852034 GOA852034 GXW852034 HHS852034 HRO852034 IBK852034 ILG852034 IVC852034 JEY852034 JOU852034 JYQ852034 KIM852034 KSI852034 LCE852034 LMA852034 LVW852034 MFS852034 MPO852034 MZK852034 NJG852034 NTC852034 OCY852034 OMU852034 OWQ852034 PGM852034 PQI852034 QAE852034 QKA852034 QTW852034 RDS852034 RNO852034 RXK852034 SHG852034 SRC852034 TAY852034 TKU852034 TUQ852034 UEM852034 UOI852034 UYE852034 VIA852034 VRW852034 WBS852034 WLO852034 WVK852034 C917570 IY917570 SU917570 ACQ917570 AMM917570 AWI917570 BGE917570 BQA917570 BZW917570 CJS917570 CTO917570 DDK917570 DNG917570 DXC917570 EGY917570 EQU917570 FAQ917570 FKM917570 FUI917570 GEE917570 GOA917570 GXW917570 HHS917570 HRO917570 IBK917570 ILG917570 IVC917570 JEY917570 JOU917570 JYQ917570 KIM917570 KSI917570 LCE917570 LMA917570 LVW917570 MFS917570 MPO917570 MZK917570 NJG917570 NTC917570 OCY917570 OMU917570 OWQ917570 PGM917570 PQI917570 QAE917570 QKA917570 QTW917570 RDS917570 RNO917570 RXK917570 SHG917570 SRC917570 TAY917570 TKU917570 TUQ917570 UEM917570 UOI917570 UYE917570 VIA917570 VRW917570 WBS917570 WLO917570 WVK917570 C983106 IY983106 SU983106 ACQ983106 AMM983106 AWI983106 BGE983106 BQA983106 BZW983106 CJS983106 CTO983106 DDK983106 DNG983106 DXC983106 EGY983106 EQU983106 FAQ983106 FKM983106 FUI983106 GEE983106 GOA983106 GXW983106 HHS983106 HRO983106 IBK983106 ILG983106 IVC983106 JEY983106 JOU983106 JYQ983106 KIM983106 KSI983106 LCE983106 LMA983106 LVW983106 MFS983106 MPO983106 MZK983106 NJG983106 NTC983106 OCY983106 OMU983106 OWQ983106 PGM983106 PQI983106 QAE983106 QKA983106 QTW983106 RDS983106 RNO983106 RXK983106 SHG983106 SRC983106 TAY983106 TKU983106 TUQ983106 UEM983106 UOI983106 UYE983106 VIA983106 VRW983106 WBS983106 WLO983106 WVK983106"/>
  </dataValidations>
  <printOptions horizontalCentered="1"/>
  <pageMargins left="0.23622047244094499" right="0.31496062992126" top="0.35433070866141703" bottom="0.55118110236220497" header="0.15748031496063" footer="0.196850393700787"/>
  <pageSetup paperSize="9" scale="64" fitToHeight="0" orientation="landscape" r:id="rId1"/>
  <headerFooter alignWithMargins="0">
    <oddHeader xml:space="preserve">&amp;C                                                                                                                      </oddHeader>
    <oddFooter xml:space="preserve">&amp;C
&amp;".VnTimeH,Regular"
&amp;P/&amp;N&amp;".VnTime,  Italic"&amp;8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65"/>
  <sheetViews>
    <sheetView showZeros="0" zoomScale="70" zoomScaleNormal="70" workbookViewId="0">
      <pane xSplit="2" ySplit="8" topLeftCell="C9" activePane="bottomRight" state="frozen"/>
      <selection activeCell="A40" sqref="A40:XFD41"/>
      <selection pane="topRight" activeCell="A40" sqref="A40:XFD41"/>
      <selection pane="bottomLeft" activeCell="A40" sqref="A40:XFD41"/>
      <selection pane="bottomRight" activeCell="A40" sqref="A40:XFD41"/>
    </sheetView>
  </sheetViews>
  <sheetFormatPr defaultRowHeight="15.75"/>
  <cols>
    <col min="1" max="1" width="5.85546875" style="17" customWidth="1"/>
    <col min="2" max="2" width="111" style="17" customWidth="1"/>
    <col min="3" max="3" width="17.5703125" style="17" customWidth="1"/>
    <col min="4" max="4" width="18.42578125" style="616" customWidth="1"/>
    <col min="5" max="6" width="14.42578125" style="17" customWidth="1"/>
    <col min="7" max="7" width="17.28515625" style="17" hidden="1" customWidth="1"/>
    <col min="8" max="8" width="11.140625" style="17" hidden="1" customWidth="1"/>
    <col min="9" max="9" width="14.5703125" style="17" hidden="1" customWidth="1"/>
    <col min="10" max="14" width="0" style="17" hidden="1" customWidth="1"/>
    <col min="15" max="15" width="12.42578125" style="17" hidden="1" customWidth="1"/>
    <col min="16" max="16" width="11.140625" style="17" customWidth="1"/>
    <col min="17" max="252" width="9.140625" style="17"/>
    <col min="253" max="253" width="5.85546875" style="17" customWidth="1"/>
    <col min="254" max="254" width="111" style="17" customWidth="1"/>
    <col min="255" max="255" width="18.42578125" style="17" customWidth="1"/>
    <col min="256" max="257" width="0" style="17" hidden="1" customWidth="1"/>
    <col min="258" max="508" width="9.140625" style="17"/>
    <col min="509" max="509" width="5.85546875" style="17" customWidth="1"/>
    <col min="510" max="510" width="111" style="17" customWidth="1"/>
    <col min="511" max="511" width="18.42578125" style="17" customWidth="1"/>
    <col min="512" max="513" width="0" style="17" hidden="1" customWidth="1"/>
    <col min="514" max="764" width="9.140625" style="17"/>
    <col min="765" max="765" width="5.85546875" style="17" customWidth="1"/>
    <col min="766" max="766" width="111" style="17" customWidth="1"/>
    <col min="767" max="767" width="18.42578125" style="17" customWidth="1"/>
    <col min="768" max="769" width="0" style="17" hidden="1" customWidth="1"/>
    <col min="770" max="1020" width="9.140625" style="17"/>
    <col min="1021" max="1021" width="5.85546875" style="17" customWidth="1"/>
    <col min="1022" max="1022" width="111" style="17" customWidth="1"/>
    <col min="1023" max="1023" width="18.42578125" style="17" customWidth="1"/>
    <col min="1024" max="1025" width="0" style="17" hidden="1" customWidth="1"/>
    <col min="1026" max="1276" width="9.140625" style="17"/>
    <col min="1277" max="1277" width="5.85546875" style="17" customWidth="1"/>
    <col min="1278" max="1278" width="111" style="17" customWidth="1"/>
    <col min="1279" max="1279" width="18.42578125" style="17" customWidth="1"/>
    <col min="1280" max="1281" width="0" style="17" hidden="1" customWidth="1"/>
    <col min="1282" max="1532" width="9.140625" style="17"/>
    <col min="1533" max="1533" width="5.85546875" style="17" customWidth="1"/>
    <col min="1534" max="1534" width="111" style="17" customWidth="1"/>
    <col min="1535" max="1535" width="18.42578125" style="17" customWidth="1"/>
    <col min="1536" max="1537" width="0" style="17" hidden="1" customWidth="1"/>
    <col min="1538" max="1788" width="9.140625" style="17"/>
    <col min="1789" max="1789" width="5.85546875" style="17" customWidth="1"/>
    <col min="1790" max="1790" width="111" style="17" customWidth="1"/>
    <col min="1791" max="1791" width="18.42578125" style="17" customWidth="1"/>
    <col min="1792" max="1793" width="0" style="17" hidden="1" customWidth="1"/>
    <col min="1794" max="2044" width="9.140625" style="17"/>
    <col min="2045" max="2045" width="5.85546875" style="17" customWidth="1"/>
    <col min="2046" max="2046" width="111" style="17" customWidth="1"/>
    <col min="2047" max="2047" width="18.42578125" style="17" customWidth="1"/>
    <col min="2048" max="2049" width="0" style="17" hidden="1" customWidth="1"/>
    <col min="2050" max="2300" width="9.140625" style="17"/>
    <col min="2301" max="2301" width="5.85546875" style="17" customWidth="1"/>
    <col min="2302" max="2302" width="111" style="17" customWidth="1"/>
    <col min="2303" max="2303" width="18.42578125" style="17" customWidth="1"/>
    <col min="2304" max="2305" width="0" style="17" hidden="1" customWidth="1"/>
    <col min="2306" max="2556" width="9.140625" style="17"/>
    <col min="2557" max="2557" width="5.85546875" style="17" customWidth="1"/>
    <col min="2558" max="2558" width="111" style="17" customWidth="1"/>
    <col min="2559" max="2559" width="18.42578125" style="17" customWidth="1"/>
    <col min="2560" max="2561" width="0" style="17" hidden="1" customWidth="1"/>
    <col min="2562" max="2812" width="9.140625" style="17"/>
    <col min="2813" max="2813" width="5.85546875" style="17" customWidth="1"/>
    <col min="2814" max="2814" width="111" style="17" customWidth="1"/>
    <col min="2815" max="2815" width="18.42578125" style="17" customWidth="1"/>
    <col min="2816" max="2817" width="0" style="17" hidden="1" customWidth="1"/>
    <col min="2818" max="3068" width="9.140625" style="17"/>
    <col min="3069" max="3069" width="5.85546875" style="17" customWidth="1"/>
    <col min="3070" max="3070" width="111" style="17" customWidth="1"/>
    <col min="3071" max="3071" width="18.42578125" style="17" customWidth="1"/>
    <col min="3072" max="3073" width="0" style="17" hidden="1" customWidth="1"/>
    <col min="3074" max="3324" width="9.140625" style="17"/>
    <col min="3325" max="3325" width="5.85546875" style="17" customWidth="1"/>
    <col min="3326" max="3326" width="111" style="17" customWidth="1"/>
    <col min="3327" max="3327" width="18.42578125" style="17" customWidth="1"/>
    <col min="3328" max="3329" width="0" style="17" hidden="1" customWidth="1"/>
    <col min="3330" max="3580" width="9.140625" style="17"/>
    <col min="3581" max="3581" width="5.85546875" style="17" customWidth="1"/>
    <col min="3582" max="3582" width="111" style="17" customWidth="1"/>
    <col min="3583" max="3583" width="18.42578125" style="17" customWidth="1"/>
    <col min="3584" max="3585" width="0" style="17" hidden="1" customWidth="1"/>
    <col min="3586" max="3836" width="9.140625" style="17"/>
    <col min="3837" max="3837" width="5.85546875" style="17" customWidth="1"/>
    <col min="3838" max="3838" width="111" style="17" customWidth="1"/>
    <col min="3839" max="3839" width="18.42578125" style="17" customWidth="1"/>
    <col min="3840" max="3841" width="0" style="17" hidden="1" customWidth="1"/>
    <col min="3842" max="4092" width="9.140625" style="17"/>
    <col min="4093" max="4093" width="5.85546875" style="17" customWidth="1"/>
    <col min="4094" max="4094" width="111" style="17" customWidth="1"/>
    <col min="4095" max="4095" width="18.42578125" style="17" customWidth="1"/>
    <col min="4096" max="4097" width="0" style="17" hidden="1" customWidth="1"/>
    <col min="4098" max="4348" width="9.140625" style="17"/>
    <col min="4349" max="4349" width="5.85546875" style="17" customWidth="1"/>
    <col min="4350" max="4350" width="111" style="17" customWidth="1"/>
    <col min="4351" max="4351" width="18.42578125" style="17" customWidth="1"/>
    <col min="4352" max="4353" width="0" style="17" hidden="1" customWidth="1"/>
    <col min="4354" max="4604" width="9.140625" style="17"/>
    <col min="4605" max="4605" width="5.85546875" style="17" customWidth="1"/>
    <col min="4606" max="4606" width="111" style="17" customWidth="1"/>
    <col min="4607" max="4607" width="18.42578125" style="17" customWidth="1"/>
    <col min="4608" max="4609" width="0" style="17" hidden="1" customWidth="1"/>
    <col min="4610" max="4860" width="9.140625" style="17"/>
    <col min="4861" max="4861" width="5.85546875" style="17" customWidth="1"/>
    <col min="4862" max="4862" width="111" style="17" customWidth="1"/>
    <col min="4863" max="4863" width="18.42578125" style="17" customWidth="1"/>
    <col min="4864" max="4865" width="0" style="17" hidden="1" customWidth="1"/>
    <col min="4866" max="5116" width="9.140625" style="17"/>
    <col min="5117" max="5117" width="5.85546875" style="17" customWidth="1"/>
    <col min="5118" max="5118" width="111" style="17" customWidth="1"/>
    <col min="5119" max="5119" width="18.42578125" style="17" customWidth="1"/>
    <col min="5120" max="5121" width="0" style="17" hidden="1" customWidth="1"/>
    <col min="5122" max="5372" width="9.140625" style="17"/>
    <col min="5373" max="5373" width="5.85546875" style="17" customWidth="1"/>
    <col min="5374" max="5374" width="111" style="17" customWidth="1"/>
    <col min="5375" max="5375" width="18.42578125" style="17" customWidth="1"/>
    <col min="5376" max="5377" width="0" style="17" hidden="1" customWidth="1"/>
    <col min="5378" max="5628" width="9.140625" style="17"/>
    <col min="5629" max="5629" width="5.85546875" style="17" customWidth="1"/>
    <col min="5630" max="5630" width="111" style="17" customWidth="1"/>
    <col min="5631" max="5631" width="18.42578125" style="17" customWidth="1"/>
    <col min="5632" max="5633" width="0" style="17" hidden="1" customWidth="1"/>
    <col min="5634" max="5884" width="9.140625" style="17"/>
    <col min="5885" max="5885" width="5.85546875" style="17" customWidth="1"/>
    <col min="5886" max="5886" width="111" style="17" customWidth="1"/>
    <col min="5887" max="5887" width="18.42578125" style="17" customWidth="1"/>
    <col min="5888" max="5889" width="0" style="17" hidden="1" customWidth="1"/>
    <col min="5890" max="6140" width="9.140625" style="17"/>
    <col min="6141" max="6141" width="5.85546875" style="17" customWidth="1"/>
    <col min="6142" max="6142" width="111" style="17" customWidth="1"/>
    <col min="6143" max="6143" width="18.42578125" style="17" customWidth="1"/>
    <col min="6144" max="6145" width="0" style="17" hidden="1" customWidth="1"/>
    <col min="6146" max="6396" width="9.140625" style="17"/>
    <col min="6397" max="6397" width="5.85546875" style="17" customWidth="1"/>
    <col min="6398" max="6398" width="111" style="17" customWidth="1"/>
    <col min="6399" max="6399" width="18.42578125" style="17" customWidth="1"/>
    <col min="6400" max="6401" width="0" style="17" hidden="1" customWidth="1"/>
    <col min="6402" max="6652" width="9.140625" style="17"/>
    <col min="6653" max="6653" width="5.85546875" style="17" customWidth="1"/>
    <col min="6654" max="6654" width="111" style="17" customWidth="1"/>
    <col min="6655" max="6655" width="18.42578125" style="17" customWidth="1"/>
    <col min="6656" max="6657" width="0" style="17" hidden="1" customWidth="1"/>
    <col min="6658" max="6908" width="9.140625" style="17"/>
    <col min="6909" max="6909" width="5.85546875" style="17" customWidth="1"/>
    <col min="6910" max="6910" width="111" style="17" customWidth="1"/>
    <col min="6911" max="6911" width="18.42578125" style="17" customWidth="1"/>
    <col min="6912" max="6913" width="0" style="17" hidden="1" customWidth="1"/>
    <col min="6914" max="7164" width="9.140625" style="17"/>
    <col min="7165" max="7165" width="5.85546875" style="17" customWidth="1"/>
    <col min="7166" max="7166" width="111" style="17" customWidth="1"/>
    <col min="7167" max="7167" width="18.42578125" style="17" customWidth="1"/>
    <col min="7168" max="7169" width="0" style="17" hidden="1" customWidth="1"/>
    <col min="7170" max="7420" width="9.140625" style="17"/>
    <col min="7421" max="7421" width="5.85546875" style="17" customWidth="1"/>
    <col min="7422" max="7422" width="111" style="17" customWidth="1"/>
    <col min="7423" max="7423" width="18.42578125" style="17" customWidth="1"/>
    <col min="7424" max="7425" width="0" style="17" hidden="1" customWidth="1"/>
    <col min="7426" max="7676" width="9.140625" style="17"/>
    <col min="7677" max="7677" width="5.85546875" style="17" customWidth="1"/>
    <col min="7678" max="7678" width="111" style="17" customWidth="1"/>
    <col min="7679" max="7679" width="18.42578125" style="17" customWidth="1"/>
    <col min="7680" max="7681" width="0" style="17" hidden="1" customWidth="1"/>
    <col min="7682" max="7932" width="9.140625" style="17"/>
    <col min="7933" max="7933" width="5.85546875" style="17" customWidth="1"/>
    <col min="7934" max="7934" width="111" style="17" customWidth="1"/>
    <col min="7935" max="7935" width="18.42578125" style="17" customWidth="1"/>
    <col min="7936" max="7937" width="0" style="17" hidden="1" customWidth="1"/>
    <col min="7938" max="8188" width="9.140625" style="17"/>
    <col min="8189" max="8189" width="5.85546875" style="17" customWidth="1"/>
    <col min="8190" max="8190" width="111" style="17" customWidth="1"/>
    <col min="8191" max="8191" width="18.42578125" style="17" customWidth="1"/>
    <col min="8192" max="8193" width="0" style="17" hidden="1" customWidth="1"/>
    <col min="8194" max="8444" width="9.140625" style="17"/>
    <col min="8445" max="8445" width="5.85546875" style="17" customWidth="1"/>
    <col min="8446" max="8446" width="111" style="17" customWidth="1"/>
    <col min="8447" max="8447" width="18.42578125" style="17" customWidth="1"/>
    <col min="8448" max="8449" width="0" style="17" hidden="1" customWidth="1"/>
    <col min="8450" max="8700" width="9.140625" style="17"/>
    <col min="8701" max="8701" width="5.85546875" style="17" customWidth="1"/>
    <col min="8702" max="8702" width="111" style="17" customWidth="1"/>
    <col min="8703" max="8703" width="18.42578125" style="17" customWidth="1"/>
    <col min="8704" max="8705" width="0" style="17" hidden="1" customWidth="1"/>
    <col min="8706" max="8956" width="9.140625" style="17"/>
    <col min="8957" max="8957" width="5.85546875" style="17" customWidth="1"/>
    <col min="8958" max="8958" width="111" style="17" customWidth="1"/>
    <col min="8959" max="8959" width="18.42578125" style="17" customWidth="1"/>
    <col min="8960" max="8961" width="0" style="17" hidden="1" customWidth="1"/>
    <col min="8962" max="9212" width="9.140625" style="17"/>
    <col min="9213" max="9213" width="5.85546875" style="17" customWidth="1"/>
    <col min="9214" max="9214" width="111" style="17" customWidth="1"/>
    <col min="9215" max="9215" width="18.42578125" style="17" customWidth="1"/>
    <col min="9216" max="9217" width="0" style="17" hidden="1" customWidth="1"/>
    <col min="9218" max="9468" width="9.140625" style="17"/>
    <col min="9469" max="9469" width="5.85546875" style="17" customWidth="1"/>
    <col min="9470" max="9470" width="111" style="17" customWidth="1"/>
    <col min="9471" max="9471" width="18.42578125" style="17" customWidth="1"/>
    <col min="9472" max="9473" width="0" style="17" hidden="1" customWidth="1"/>
    <col min="9474" max="9724" width="9.140625" style="17"/>
    <col min="9725" max="9725" width="5.85546875" style="17" customWidth="1"/>
    <col min="9726" max="9726" width="111" style="17" customWidth="1"/>
    <col min="9727" max="9727" width="18.42578125" style="17" customWidth="1"/>
    <col min="9728" max="9729" width="0" style="17" hidden="1" customWidth="1"/>
    <col min="9730" max="9980" width="9.140625" style="17"/>
    <col min="9981" max="9981" width="5.85546875" style="17" customWidth="1"/>
    <col min="9982" max="9982" width="111" style="17" customWidth="1"/>
    <col min="9983" max="9983" width="18.42578125" style="17" customWidth="1"/>
    <col min="9984" max="9985" width="0" style="17" hidden="1" customWidth="1"/>
    <col min="9986" max="10236" width="9.140625" style="17"/>
    <col min="10237" max="10237" width="5.85546875" style="17" customWidth="1"/>
    <col min="10238" max="10238" width="111" style="17" customWidth="1"/>
    <col min="10239" max="10239" width="18.42578125" style="17" customWidth="1"/>
    <col min="10240" max="10241" width="0" style="17" hidden="1" customWidth="1"/>
    <col min="10242" max="10492" width="9.140625" style="17"/>
    <col min="10493" max="10493" width="5.85546875" style="17" customWidth="1"/>
    <col min="10494" max="10494" width="111" style="17" customWidth="1"/>
    <col min="10495" max="10495" width="18.42578125" style="17" customWidth="1"/>
    <col min="10496" max="10497" width="0" style="17" hidden="1" customWidth="1"/>
    <col min="10498" max="10748" width="9.140625" style="17"/>
    <col min="10749" max="10749" width="5.85546875" style="17" customWidth="1"/>
    <col min="10750" max="10750" width="111" style="17" customWidth="1"/>
    <col min="10751" max="10751" width="18.42578125" style="17" customWidth="1"/>
    <col min="10752" max="10753" width="0" style="17" hidden="1" customWidth="1"/>
    <col min="10754" max="11004" width="9.140625" style="17"/>
    <col min="11005" max="11005" width="5.85546875" style="17" customWidth="1"/>
    <col min="11006" max="11006" width="111" style="17" customWidth="1"/>
    <col min="11007" max="11007" width="18.42578125" style="17" customWidth="1"/>
    <col min="11008" max="11009" width="0" style="17" hidden="1" customWidth="1"/>
    <col min="11010" max="11260" width="9.140625" style="17"/>
    <col min="11261" max="11261" width="5.85546875" style="17" customWidth="1"/>
    <col min="11262" max="11262" width="111" style="17" customWidth="1"/>
    <col min="11263" max="11263" width="18.42578125" style="17" customWidth="1"/>
    <col min="11264" max="11265" width="0" style="17" hidden="1" customWidth="1"/>
    <col min="11266" max="11516" width="9.140625" style="17"/>
    <col min="11517" max="11517" width="5.85546875" style="17" customWidth="1"/>
    <col min="11518" max="11518" width="111" style="17" customWidth="1"/>
    <col min="11519" max="11519" width="18.42578125" style="17" customWidth="1"/>
    <col min="11520" max="11521" width="0" style="17" hidden="1" customWidth="1"/>
    <col min="11522" max="11772" width="9.140625" style="17"/>
    <col min="11773" max="11773" width="5.85546875" style="17" customWidth="1"/>
    <col min="11774" max="11774" width="111" style="17" customWidth="1"/>
    <col min="11775" max="11775" width="18.42578125" style="17" customWidth="1"/>
    <col min="11776" max="11777" width="0" style="17" hidden="1" customWidth="1"/>
    <col min="11778" max="12028" width="9.140625" style="17"/>
    <col min="12029" max="12029" width="5.85546875" style="17" customWidth="1"/>
    <col min="12030" max="12030" width="111" style="17" customWidth="1"/>
    <col min="12031" max="12031" width="18.42578125" style="17" customWidth="1"/>
    <col min="12032" max="12033" width="0" style="17" hidden="1" customWidth="1"/>
    <col min="12034" max="12284" width="9.140625" style="17"/>
    <col min="12285" max="12285" width="5.85546875" style="17" customWidth="1"/>
    <col min="12286" max="12286" width="111" style="17" customWidth="1"/>
    <col min="12287" max="12287" width="18.42578125" style="17" customWidth="1"/>
    <col min="12288" max="12289" width="0" style="17" hidden="1" customWidth="1"/>
    <col min="12290" max="12540" width="9.140625" style="17"/>
    <col min="12541" max="12541" width="5.85546875" style="17" customWidth="1"/>
    <col min="12542" max="12542" width="111" style="17" customWidth="1"/>
    <col min="12543" max="12543" width="18.42578125" style="17" customWidth="1"/>
    <col min="12544" max="12545" width="0" style="17" hidden="1" customWidth="1"/>
    <col min="12546" max="12796" width="9.140625" style="17"/>
    <col min="12797" max="12797" width="5.85546875" style="17" customWidth="1"/>
    <col min="12798" max="12798" width="111" style="17" customWidth="1"/>
    <col min="12799" max="12799" width="18.42578125" style="17" customWidth="1"/>
    <col min="12800" max="12801" width="0" style="17" hidden="1" customWidth="1"/>
    <col min="12802" max="13052" width="9.140625" style="17"/>
    <col min="13053" max="13053" width="5.85546875" style="17" customWidth="1"/>
    <col min="13054" max="13054" width="111" style="17" customWidth="1"/>
    <col min="13055" max="13055" width="18.42578125" style="17" customWidth="1"/>
    <col min="13056" max="13057" width="0" style="17" hidden="1" customWidth="1"/>
    <col min="13058" max="13308" width="9.140625" style="17"/>
    <col min="13309" max="13309" width="5.85546875" style="17" customWidth="1"/>
    <col min="13310" max="13310" width="111" style="17" customWidth="1"/>
    <col min="13311" max="13311" width="18.42578125" style="17" customWidth="1"/>
    <col min="13312" max="13313" width="0" style="17" hidden="1" customWidth="1"/>
    <col min="13314" max="13564" width="9.140625" style="17"/>
    <col min="13565" max="13565" width="5.85546875" style="17" customWidth="1"/>
    <col min="13566" max="13566" width="111" style="17" customWidth="1"/>
    <col min="13567" max="13567" width="18.42578125" style="17" customWidth="1"/>
    <col min="13568" max="13569" width="0" style="17" hidden="1" customWidth="1"/>
    <col min="13570" max="13820" width="9.140625" style="17"/>
    <col min="13821" max="13821" width="5.85546875" style="17" customWidth="1"/>
    <col min="13822" max="13822" width="111" style="17" customWidth="1"/>
    <col min="13823" max="13823" width="18.42578125" style="17" customWidth="1"/>
    <col min="13824" max="13825" width="0" style="17" hidden="1" customWidth="1"/>
    <col min="13826" max="14076" width="9.140625" style="17"/>
    <col min="14077" max="14077" width="5.85546875" style="17" customWidth="1"/>
    <col min="14078" max="14078" width="111" style="17" customWidth="1"/>
    <col min="14079" max="14079" width="18.42578125" style="17" customWidth="1"/>
    <col min="14080" max="14081" width="0" style="17" hidden="1" customWidth="1"/>
    <col min="14082" max="14332" width="9.140625" style="17"/>
    <col min="14333" max="14333" width="5.85546875" style="17" customWidth="1"/>
    <col min="14334" max="14334" width="111" style="17" customWidth="1"/>
    <col min="14335" max="14335" width="18.42578125" style="17" customWidth="1"/>
    <col min="14336" max="14337" width="0" style="17" hidden="1" customWidth="1"/>
    <col min="14338" max="14588" width="9.140625" style="17"/>
    <col min="14589" max="14589" width="5.85546875" style="17" customWidth="1"/>
    <col min="14590" max="14590" width="111" style="17" customWidth="1"/>
    <col min="14591" max="14591" width="18.42578125" style="17" customWidth="1"/>
    <col min="14592" max="14593" width="0" style="17" hidden="1" customWidth="1"/>
    <col min="14594" max="14844" width="9.140625" style="17"/>
    <col min="14845" max="14845" width="5.85546875" style="17" customWidth="1"/>
    <col min="14846" max="14846" width="111" style="17" customWidth="1"/>
    <col min="14847" max="14847" width="18.42578125" style="17" customWidth="1"/>
    <col min="14848" max="14849" width="0" style="17" hidden="1" customWidth="1"/>
    <col min="14850" max="15100" width="9.140625" style="17"/>
    <col min="15101" max="15101" width="5.85546875" style="17" customWidth="1"/>
    <col min="15102" max="15102" width="111" style="17" customWidth="1"/>
    <col min="15103" max="15103" width="18.42578125" style="17" customWidth="1"/>
    <col min="15104" max="15105" width="0" style="17" hidden="1" customWidth="1"/>
    <col min="15106" max="15356" width="9.140625" style="17"/>
    <col min="15357" max="15357" width="5.85546875" style="17" customWidth="1"/>
    <col min="15358" max="15358" width="111" style="17" customWidth="1"/>
    <col min="15359" max="15359" width="18.42578125" style="17" customWidth="1"/>
    <col min="15360" max="15361" width="0" style="17" hidden="1" customWidth="1"/>
    <col min="15362" max="15612" width="9.140625" style="17"/>
    <col min="15613" max="15613" width="5.85546875" style="17" customWidth="1"/>
    <col min="15614" max="15614" width="111" style="17" customWidth="1"/>
    <col min="15615" max="15615" width="18.42578125" style="17" customWidth="1"/>
    <col min="15616" max="15617" width="0" style="17" hidden="1" customWidth="1"/>
    <col min="15618" max="15868" width="9.140625" style="17"/>
    <col min="15869" max="15869" width="5.85546875" style="17" customWidth="1"/>
    <col min="15870" max="15870" width="111" style="17" customWidth="1"/>
    <col min="15871" max="15871" width="18.42578125" style="17" customWidth="1"/>
    <col min="15872" max="15873" width="0" style="17" hidden="1" customWidth="1"/>
    <col min="15874" max="16124" width="9.140625" style="17"/>
    <col min="16125" max="16125" width="5.85546875" style="17" customWidth="1"/>
    <col min="16126" max="16126" width="111" style="17" customWidth="1"/>
    <col min="16127" max="16127" width="18.42578125" style="17" customWidth="1"/>
    <col min="16128" max="16129" width="0" style="17" hidden="1" customWidth="1"/>
    <col min="16130" max="16384" width="9.140625" style="17"/>
  </cols>
  <sheetData>
    <row r="1" spans="1:16" ht="21" customHeight="1">
      <c r="A1" s="615"/>
      <c r="B1" s="615"/>
      <c r="C1" s="615"/>
      <c r="E1" s="617" t="s">
        <v>37</v>
      </c>
    </row>
    <row r="2" spans="1:16" ht="21" customHeight="1">
      <c r="A2" s="1085" t="s">
        <v>38</v>
      </c>
      <c r="B2" s="1085"/>
      <c r="C2" s="1085"/>
      <c r="D2" s="1085"/>
      <c r="E2" s="1085"/>
      <c r="F2" s="1085"/>
      <c r="L2" s="32" t="s">
        <v>1064</v>
      </c>
      <c r="M2" s="32">
        <v>45600</v>
      </c>
      <c r="N2" s="32" t="s">
        <v>1065</v>
      </c>
      <c r="O2" s="32">
        <v>104486</v>
      </c>
    </row>
    <row r="3" spans="1:16" ht="21" customHeight="1">
      <c r="A3" s="1086" t="s">
        <v>525</v>
      </c>
      <c r="B3" s="1086"/>
      <c r="C3" s="1086"/>
      <c r="D3" s="1086"/>
      <c r="E3" s="1086"/>
      <c r="F3" s="1086"/>
      <c r="L3" s="32" t="s">
        <v>1066</v>
      </c>
      <c r="M3" s="32">
        <v>12864</v>
      </c>
      <c r="N3" s="32"/>
      <c r="O3" s="32">
        <v>203645.32</v>
      </c>
    </row>
    <row r="4" spans="1:16" ht="19.5" customHeight="1">
      <c r="A4" s="18"/>
      <c r="B4" s="18"/>
      <c r="C4" s="18"/>
      <c r="D4" s="20" t="s">
        <v>2</v>
      </c>
      <c r="H4" s="618">
        <f>D9-D10</f>
        <v>11837789.433339002</v>
      </c>
      <c r="I4" s="619">
        <f>'PL24'!C10-'PL23'!H4</f>
        <v>-4165621.2000000011</v>
      </c>
      <c r="L4" s="19" t="s">
        <v>1067</v>
      </c>
      <c r="M4" s="19">
        <v>24928</v>
      </c>
      <c r="N4" s="32"/>
      <c r="O4" s="32"/>
    </row>
    <row r="5" spans="1:16" s="21" customFormat="1" ht="23.25" customHeight="1">
      <c r="A5" s="1087" t="s">
        <v>3</v>
      </c>
      <c r="B5" s="1087" t="s">
        <v>4</v>
      </c>
      <c r="C5" s="1088" t="s">
        <v>39</v>
      </c>
      <c r="D5" s="1089" t="s">
        <v>6</v>
      </c>
      <c r="E5" s="1090" t="s">
        <v>7</v>
      </c>
      <c r="F5" s="1090"/>
      <c r="L5" s="19" t="s">
        <v>1068</v>
      </c>
      <c r="M5" s="19">
        <v>15767.32</v>
      </c>
      <c r="N5" s="32"/>
      <c r="O5" s="32"/>
    </row>
    <row r="6" spans="1:16" s="21" customFormat="1" ht="51" customHeight="1">
      <c r="A6" s="1087"/>
      <c r="B6" s="1087"/>
      <c r="C6" s="1088"/>
      <c r="D6" s="1089"/>
      <c r="E6" s="1091" t="s">
        <v>8</v>
      </c>
      <c r="F6" s="1093" t="s">
        <v>9</v>
      </c>
    </row>
    <row r="7" spans="1:16" s="21" customFormat="1" ht="52.5" customHeight="1">
      <c r="A7" s="1087"/>
      <c r="B7" s="1087"/>
      <c r="C7" s="1088"/>
      <c r="D7" s="1089"/>
      <c r="E7" s="1092"/>
      <c r="F7" s="1094"/>
    </row>
    <row r="8" spans="1:16" s="23" customFormat="1" ht="17.25" customHeight="1">
      <c r="A8" s="22" t="s">
        <v>10</v>
      </c>
      <c r="B8" s="22" t="s">
        <v>11</v>
      </c>
      <c r="C8" s="22">
        <v>1</v>
      </c>
      <c r="D8" s="620">
        <f>C8+1</f>
        <v>2</v>
      </c>
      <c r="E8" s="620" t="s">
        <v>12</v>
      </c>
      <c r="F8" s="620" t="s">
        <v>13</v>
      </c>
    </row>
    <row r="9" spans="1:16" s="19" customFormat="1" ht="21.75" customHeight="1">
      <c r="A9" s="621"/>
      <c r="B9" s="622" t="s">
        <v>41</v>
      </c>
      <c r="C9" s="623">
        <f>C10+C11+C50+C54+C55</f>
        <v>9145584</v>
      </c>
      <c r="D9" s="623">
        <f>D10+D11+D50+D54+D55</f>
        <v>14676896.433339002</v>
      </c>
      <c r="E9" s="623">
        <f>E10+E11+E50+E54+E55</f>
        <v>6762891.4333389997</v>
      </c>
      <c r="F9" s="624">
        <f>D9/C9%</f>
        <v>160.48069137344319</v>
      </c>
      <c r="G9" s="19">
        <v>11316165.233339</v>
      </c>
    </row>
    <row r="10" spans="1:16" s="19" customFormat="1" ht="21.75" customHeight="1">
      <c r="A10" s="29" t="s">
        <v>10</v>
      </c>
      <c r="B10" s="625" t="s">
        <v>42</v>
      </c>
      <c r="C10" s="626">
        <f>2470631+368476</f>
        <v>2839107</v>
      </c>
      <c r="D10" s="626">
        <f>C10</f>
        <v>2839107</v>
      </c>
      <c r="E10" s="626">
        <f>D10-C10</f>
        <v>0</v>
      </c>
      <c r="F10" s="624">
        <f>D10/C10%</f>
        <v>100</v>
      </c>
      <c r="G10" s="627">
        <f>D9-G9</f>
        <v>3360731.2000000011</v>
      </c>
    </row>
    <row r="11" spans="1:16" s="19" customFormat="1" ht="21.75" customHeight="1">
      <c r="A11" s="29" t="s">
        <v>11</v>
      </c>
      <c r="B11" s="625" t="s">
        <v>43</v>
      </c>
      <c r="C11" s="626">
        <f>C12+C48+C49</f>
        <v>4024355</v>
      </c>
      <c r="D11" s="626">
        <f>D12+D48+D49</f>
        <v>3456439.233339</v>
      </c>
      <c r="E11" s="626">
        <f>E13+E30+E44+E45+E46+E47+E48+E50+E51</f>
        <v>663663.23333900003</v>
      </c>
      <c r="F11" s="624">
        <f>D11/C11%</f>
        <v>85.888030090262902</v>
      </c>
      <c r="G11" s="627">
        <f>G10-D10</f>
        <v>521624.20000000112</v>
      </c>
      <c r="P11" s="645"/>
    </row>
    <row r="12" spans="1:16" s="19" customFormat="1" ht="21.75" customHeight="1">
      <c r="A12" s="29" t="s">
        <v>44</v>
      </c>
      <c r="B12" s="625" t="s">
        <v>45</v>
      </c>
      <c r="C12" s="626">
        <f>C13+C30+C44+C45+C46+C47</f>
        <v>3614773</v>
      </c>
      <c r="D12" s="626">
        <f>D13+D30+D44+D45+D46+D47</f>
        <v>2926157.233339</v>
      </c>
      <c r="E12" s="626"/>
      <c r="F12" s="624"/>
    </row>
    <row r="13" spans="1:16" s="19" customFormat="1" ht="21.75" customHeight="1">
      <c r="A13" s="29" t="s">
        <v>15</v>
      </c>
      <c r="B13" s="625" t="s">
        <v>46</v>
      </c>
      <c r="C13" s="626">
        <f>C14+C28+C29</f>
        <v>415220</v>
      </c>
      <c r="D13" s="626">
        <f>D14+D28+D29</f>
        <v>492267.23333900003</v>
      </c>
      <c r="E13" s="626">
        <f>E14+E28+E29</f>
        <v>77047.233339000013</v>
      </c>
      <c r="F13" s="628">
        <f>D13/C13%</f>
        <v>118.55576160565485</v>
      </c>
    </row>
    <row r="14" spans="1:16" s="32" customFormat="1" ht="21.75" customHeight="1">
      <c r="A14" s="629">
        <v>1</v>
      </c>
      <c r="B14" s="630" t="s">
        <v>47</v>
      </c>
      <c r="C14" s="631">
        <f>SUM(C15:C27)</f>
        <v>415220</v>
      </c>
      <c r="D14" s="631">
        <f>SUM(D15:D27)</f>
        <v>492267.23333900003</v>
      </c>
      <c r="E14" s="631">
        <f>SUM(E15:E27)</f>
        <v>77047.233339000013</v>
      </c>
      <c r="F14" s="628">
        <f>D14/C14%</f>
        <v>118.55576160565485</v>
      </c>
    </row>
    <row r="15" spans="1:16" s="32" customFormat="1" ht="21.75" customHeight="1">
      <c r="A15" s="632" t="s">
        <v>19</v>
      </c>
      <c r="B15" s="630" t="s">
        <v>48</v>
      </c>
      <c r="C15" s="25">
        <v>12412</v>
      </c>
      <c r="D15" s="631">
        <f>PL25_TCDT!D10</f>
        <v>15208.663400000001</v>
      </c>
      <c r="E15" s="631">
        <f t="shared" ref="E15:E27" si="0">D15-C15</f>
        <v>2796.6634000000013</v>
      </c>
      <c r="F15" s="628"/>
    </row>
    <row r="16" spans="1:16" s="32" customFormat="1" ht="21.75" customHeight="1">
      <c r="A16" s="632" t="s">
        <v>19</v>
      </c>
      <c r="B16" s="630" t="s">
        <v>49</v>
      </c>
      <c r="C16" s="25">
        <v>0</v>
      </c>
      <c r="D16" s="631"/>
      <c r="E16" s="631">
        <f t="shared" si="0"/>
        <v>0</v>
      </c>
      <c r="F16" s="628"/>
    </row>
    <row r="17" spans="1:6" s="32" customFormat="1" ht="21.75" customHeight="1">
      <c r="A17" s="632" t="s">
        <v>19</v>
      </c>
      <c r="B17" s="633" t="s">
        <v>52</v>
      </c>
      <c r="C17" s="25">
        <v>99695</v>
      </c>
      <c r="D17" s="631">
        <f>PL25_TCDT!H10</f>
        <v>116054.5646</v>
      </c>
      <c r="E17" s="631">
        <f t="shared" si="0"/>
        <v>16359.564599999998</v>
      </c>
      <c r="F17" s="628">
        <f>D17/C17%</f>
        <v>116.40961392246351</v>
      </c>
    </row>
    <row r="18" spans="1:6" s="32" customFormat="1" ht="21.75" customHeight="1">
      <c r="A18" s="632" t="s">
        <v>19</v>
      </c>
      <c r="B18" s="633" t="s">
        <v>53</v>
      </c>
      <c r="C18" s="25">
        <v>15892</v>
      </c>
      <c r="D18" s="631">
        <f>PL25_TCDT!I10</f>
        <v>51710.700425999996</v>
      </c>
      <c r="E18" s="631">
        <f t="shared" si="0"/>
        <v>35818.700425999996</v>
      </c>
      <c r="F18" s="628">
        <f>D18/C18%</f>
        <v>325.38824833878681</v>
      </c>
    </row>
    <row r="19" spans="1:6" s="32" customFormat="1" ht="21.75" customHeight="1">
      <c r="A19" s="632" t="s">
        <v>19</v>
      </c>
      <c r="B19" s="633" t="s">
        <v>54</v>
      </c>
      <c r="C19" s="25">
        <v>25127</v>
      </c>
      <c r="D19" s="631">
        <f>PL25_TCDT!J10</f>
        <v>25127</v>
      </c>
      <c r="E19" s="631">
        <f t="shared" si="0"/>
        <v>0</v>
      </c>
      <c r="F19" s="628">
        <f>D19/C19%</f>
        <v>100</v>
      </c>
    </row>
    <row r="20" spans="1:6" s="32" customFormat="1" ht="21.75" customHeight="1">
      <c r="A20" s="632" t="s">
        <v>19</v>
      </c>
      <c r="B20" s="633" t="s">
        <v>55</v>
      </c>
      <c r="C20" s="25">
        <v>40719</v>
      </c>
      <c r="D20" s="631">
        <f>PL25_TCDT!K10</f>
        <v>51579.573126000003</v>
      </c>
      <c r="E20" s="631">
        <f t="shared" si="0"/>
        <v>10860.573126000003</v>
      </c>
      <c r="F20" s="628">
        <f>D20/C20%</f>
        <v>126.67200355116776</v>
      </c>
    </row>
    <row r="21" spans="1:6" s="32" customFormat="1" ht="21.75" customHeight="1">
      <c r="A21" s="632" t="s">
        <v>19</v>
      </c>
      <c r="B21" s="633" t="s">
        <v>56</v>
      </c>
      <c r="C21" s="25">
        <v>0</v>
      </c>
      <c r="D21" s="631"/>
      <c r="E21" s="631">
        <f t="shared" si="0"/>
        <v>0</v>
      </c>
      <c r="F21" s="628"/>
    </row>
    <row r="22" spans="1:6" s="19" customFormat="1" ht="21.75" customHeight="1">
      <c r="A22" s="632" t="s">
        <v>19</v>
      </c>
      <c r="B22" s="633" t="s">
        <v>57</v>
      </c>
      <c r="C22" s="25">
        <f>161607+28000</f>
        <v>189607</v>
      </c>
      <c r="D22" s="631">
        <f>PL25_TCDT!M10</f>
        <v>195284.97667500001</v>
      </c>
      <c r="E22" s="631">
        <f t="shared" si="0"/>
        <v>5677.9766750000126</v>
      </c>
      <c r="F22" s="628">
        <f>D22/C22%</f>
        <v>102.99460287594869</v>
      </c>
    </row>
    <row r="23" spans="1:6" s="32" customFormat="1" ht="21.75" customHeight="1">
      <c r="A23" s="632" t="s">
        <v>19</v>
      </c>
      <c r="B23" s="633" t="s">
        <v>58</v>
      </c>
      <c r="C23" s="25">
        <v>5000</v>
      </c>
      <c r="D23" s="631">
        <f>PL25_TCDT!P10</f>
        <v>8440.7288120000048</v>
      </c>
      <c r="E23" s="631">
        <f t="shared" si="0"/>
        <v>3440.7288120000048</v>
      </c>
      <c r="F23" s="628"/>
    </row>
    <row r="24" spans="1:6" s="19" customFormat="1" ht="21.75" customHeight="1">
      <c r="A24" s="632" t="s">
        <v>19</v>
      </c>
      <c r="B24" s="633" t="s">
        <v>59</v>
      </c>
      <c r="C24" s="25">
        <v>2400</v>
      </c>
      <c r="D24" s="631">
        <f>PL25_TCDT!Q10</f>
        <v>3493.0263</v>
      </c>
      <c r="E24" s="631">
        <f t="shared" si="0"/>
        <v>1093.0263</v>
      </c>
      <c r="F24" s="628"/>
    </row>
    <row r="25" spans="1:6" s="32" customFormat="1" ht="21.75" customHeight="1">
      <c r="A25" s="632" t="s">
        <v>19</v>
      </c>
      <c r="B25" s="633" t="s">
        <v>50</v>
      </c>
      <c r="C25" s="25">
        <v>24368</v>
      </c>
      <c r="D25" s="631">
        <f>PL25_TCDT!F10</f>
        <v>25368</v>
      </c>
      <c r="E25" s="631">
        <f t="shared" si="0"/>
        <v>1000</v>
      </c>
      <c r="F25" s="628">
        <f>D25/C25%</f>
        <v>104.10374261326329</v>
      </c>
    </row>
    <row r="26" spans="1:6" s="32" customFormat="1" ht="21.75" customHeight="1">
      <c r="A26" s="632" t="s">
        <v>19</v>
      </c>
      <c r="B26" s="633" t="s">
        <v>51</v>
      </c>
      <c r="C26" s="25">
        <v>0</v>
      </c>
      <c r="D26" s="631"/>
      <c r="E26" s="631">
        <f t="shared" si="0"/>
        <v>0</v>
      </c>
      <c r="F26" s="628"/>
    </row>
    <row r="27" spans="1:6" s="19" customFormat="1" ht="21.75" customHeight="1">
      <c r="A27" s="632" t="s">
        <v>19</v>
      </c>
      <c r="B27" s="633" t="s">
        <v>60</v>
      </c>
      <c r="C27" s="25">
        <v>0</v>
      </c>
      <c r="D27" s="631"/>
      <c r="E27" s="631">
        <f t="shared" si="0"/>
        <v>0</v>
      </c>
      <c r="F27" s="628"/>
    </row>
    <row r="28" spans="1:6" s="19" customFormat="1" ht="41.25" customHeight="1">
      <c r="A28" s="629">
        <v>2</v>
      </c>
      <c r="B28" s="634" t="s">
        <v>61</v>
      </c>
      <c r="C28" s="631"/>
      <c r="D28" s="631"/>
      <c r="E28" s="631"/>
      <c r="F28" s="628"/>
    </row>
    <row r="29" spans="1:6" s="19" customFormat="1" ht="21.75" customHeight="1">
      <c r="A29" s="632">
        <v>3</v>
      </c>
      <c r="B29" s="633" t="s">
        <v>62</v>
      </c>
      <c r="C29" s="631"/>
      <c r="D29" s="631"/>
      <c r="E29" s="631"/>
      <c r="F29" s="628"/>
    </row>
    <row r="30" spans="1:6" s="19" customFormat="1" ht="21.75" customHeight="1">
      <c r="A30" s="29" t="s">
        <v>25</v>
      </c>
      <c r="B30" s="625" t="s">
        <v>63</v>
      </c>
      <c r="C30" s="626">
        <f t="shared" ref="C30" si="1">SUM(C31:C43)</f>
        <v>1926832</v>
      </c>
      <c r="D30" s="626">
        <f>SUM(D31:D43)</f>
        <v>2088385</v>
      </c>
      <c r="E30" s="626">
        <f t="shared" ref="E30" si="2">SUM(E31:E43)</f>
        <v>161553</v>
      </c>
      <c r="F30" s="624">
        <f t="shared" ref="F30:F53" si="3">D30/C30%</f>
        <v>108.38438431580958</v>
      </c>
    </row>
    <row r="31" spans="1:6" s="32" customFormat="1" ht="21.75" customHeight="1">
      <c r="A31" s="632" t="s">
        <v>19</v>
      </c>
      <c r="B31" s="630" t="s">
        <v>48</v>
      </c>
      <c r="C31" s="631">
        <f>457576</f>
        <v>457576</v>
      </c>
      <c r="D31" s="631">
        <f>'PL26'!E11</f>
        <v>515371</v>
      </c>
      <c r="E31" s="631">
        <f t="shared" ref="E31:E43" si="4">D31-C31</f>
        <v>57795</v>
      </c>
      <c r="F31" s="628">
        <f t="shared" ref="F31:F43" si="5">D31/C31%</f>
        <v>112.63068867248282</v>
      </c>
    </row>
    <row r="32" spans="1:6" s="32" customFormat="1" ht="21.75" customHeight="1">
      <c r="A32" s="632" t="s">
        <v>19</v>
      </c>
      <c r="B32" s="630" t="s">
        <v>64</v>
      </c>
      <c r="C32" s="631">
        <f>14041</f>
        <v>14041</v>
      </c>
      <c r="D32" s="631">
        <f>'PL26'!F11</f>
        <v>8104</v>
      </c>
      <c r="E32" s="631">
        <f t="shared" si="4"/>
        <v>-5937</v>
      </c>
      <c r="F32" s="628">
        <f t="shared" si="5"/>
        <v>57.716686845666267</v>
      </c>
    </row>
    <row r="33" spans="1:6" s="32" customFormat="1" ht="21.75" customHeight="1">
      <c r="A33" s="632" t="s">
        <v>19</v>
      </c>
      <c r="B33" s="633" t="s">
        <v>50</v>
      </c>
      <c r="C33" s="631">
        <v>67451</v>
      </c>
      <c r="D33" s="631">
        <f>'PL26'!G11</f>
        <v>77485</v>
      </c>
      <c r="E33" s="631">
        <f t="shared" si="4"/>
        <v>10034</v>
      </c>
      <c r="F33" s="628">
        <f t="shared" si="5"/>
        <v>114.87598404767905</v>
      </c>
    </row>
    <row r="34" spans="1:6" s="32" customFormat="1" ht="21.75" customHeight="1">
      <c r="A34" s="632" t="s">
        <v>19</v>
      </c>
      <c r="B34" s="633" t="s">
        <v>51</v>
      </c>
      <c r="C34" s="631">
        <f>17477</f>
        <v>17477</v>
      </c>
      <c r="D34" s="631">
        <f>'PL26'!H11</f>
        <v>58699</v>
      </c>
      <c r="E34" s="631">
        <f t="shared" si="4"/>
        <v>41222</v>
      </c>
      <c r="F34" s="628">
        <f t="shared" si="5"/>
        <v>335.86427876637867</v>
      </c>
    </row>
    <row r="35" spans="1:6" s="32" customFormat="1" ht="21.75" customHeight="1">
      <c r="A35" s="632" t="s">
        <v>19</v>
      </c>
      <c r="B35" s="633" t="s">
        <v>52</v>
      </c>
      <c r="C35" s="631">
        <v>572729</v>
      </c>
      <c r="D35" s="631">
        <f>'PL26'!I11</f>
        <v>602961</v>
      </c>
      <c r="E35" s="631">
        <f t="shared" si="4"/>
        <v>30232</v>
      </c>
      <c r="F35" s="628">
        <f t="shared" si="5"/>
        <v>105.2785872550543</v>
      </c>
    </row>
    <row r="36" spans="1:6" s="32" customFormat="1" ht="21.75" customHeight="1">
      <c r="A36" s="632" t="s">
        <v>19</v>
      </c>
      <c r="B36" s="633" t="s">
        <v>53</v>
      </c>
      <c r="C36" s="631">
        <v>55977</v>
      </c>
      <c r="D36" s="631">
        <f>'PL26'!J11</f>
        <v>75639</v>
      </c>
      <c r="E36" s="631">
        <f t="shared" si="4"/>
        <v>19662</v>
      </c>
      <c r="F36" s="628">
        <f t="shared" si="5"/>
        <v>135.12514068278043</v>
      </c>
    </row>
    <row r="37" spans="1:6" s="32" customFormat="1" ht="21.75" customHeight="1">
      <c r="A37" s="632" t="s">
        <v>19</v>
      </c>
      <c r="B37" s="633" t="s">
        <v>54</v>
      </c>
      <c r="C37" s="631">
        <v>22105</v>
      </c>
      <c r="D37" s="631">
        <f>'PL26'!K11</f>
        <v>14918</v>
      </c>
      <c r="E37" s="631">
        <f t="shared" si="4"/>
        <v>-7187</v>
      </c>
      <c r="F37" s="628">
        <f t="shared" si="5"/>
        <v>67.48699389278444</v>
      </c>
    </row>
    <row r="38" spans="1:6" s="32" customFormat="1" ht="21.75" customHeight="1">
      <c r="A38" s="632" t="s">
        <v>19</v>
      </c>
      <c r="B38" s="633" t="s">
        <v>55</v>
      </c>
      <c r="C38" s="631">
        <v>13565</v>
      </c>
      <c r="D38" s="631">
        <f>'PL26'!L11</f>
        <v>13730</v>
      </c>
      <c r="E38" s="631">
        <f t="shared" si="4"/>
        <v>165</v>
      </c>
      <c r="F38" s="628">
        <f t="shared" si="5"/>
        <v>101.21636564688536</v>
      </c>
    </row>
    <row r="39" spans="1:6" s="32" customFormat="1" ht="21.75" customHeight="1">
      <c r="A39" s="632" t="s">
        <v>19</v>
      </c>
      <c r="B39" s="633" t="s">
        <v>56</v>
      </c>
      <c r="C39" s="631">
        <v>13299</v>
      </c>
      <c r="D39" s="631">
        <f>'PL26'!M11</f>
        <v>10726</v>
      </c>
      <c r="E39" s="631">
        <f t="shared" si="4"/>
        <v>-2573</v>
      </c>
      <c r="F39" s="628">
        <f t="shared" si="5"/>
        <v>80.652680652680644</v>
      </c>
    </row>
    <row r="40" spans="1:6" s="19" customFormat="1" ht="21.75" customHeight="1">
      <c r="A40" s="632" t="s">
        <v>19</v>
      </c>
      <c r="B40" s="633" t="s">
        <v>57</v>
      </c>
      <c r="C40" s="631">
        <f>212588</f>
        <v>212588</v>
      </c>
      <c r="D40" s="631">
        <f>'PL26'!N11</f>
        <v>207659</v>
      </c>
      <c r="E40" s="631">
        <f t="shared" si="4"/>
        <v>-4929</v>
      </c>
      <c r="F40" s="628">
        <f t="shared" si="5"/>
        <v>97.681430748678196</v>
      </c>
    </row>
    <row r="41" spans="1:6" s="32" customFormat="1" ht="21.75" customHeight="1">
      <c r="A41" s="632" t="s">
        <v>19</v>
      </c>
      <c r="B41" s="633" t="s">
        <v>58</v>
      </c>
      <c r="C41" s="631">
        <f>408417</f>
        <v>408417</v>
      </c>
      <c r="D41" s="631">
        <f>'PL26'!Q11</f>
        <v>430359</v>
      </c>
      <c r="E41" s="631">
        <f t="shared" si="4"/>
        <v>21942</v>
      </c>
      <c r="F41" s="628">
        <f t="shared" si="5"/>
        <v>105.37245021632302</v>
      </c>
    </row>
    <row r="42" spans="1:6" s="19" customFormat="1" ht="21.75" customHeight="1">
      <c r="A42" s="632" t="s">
        <v>19</v>
      </c>
      <c r="B42" s="633" t="s">
        <v>59</v>
      </c>
      <c r="C42" s="631">
        <f>55630</f>
        <v>55630</v>
      </c>
      <c r="D42" s="631">
        <f>'PL26'!R11</f>
        <v>72292</v>
      </c>
      <c r="E42" s="631">
        <f t="shared" si="4"/>
        <v>16662</v>
      </c>
      <c r="F42" s="628">
        <f t="shared" si="5"/>
        <v>129.95146503685064</v>
      </c>
    </row>
    <row r="43" spans="1:6" s="19" customFormat="1" ht="21.75" customHeight="1">
      <c r="A43" s="632" t="s">
        <v>19</v>
      </c>
      <c r="B43" s="633" t="s">
        <v>65</v>
      </c>
      <c r="C43" s="631">
        <v>15977</v>
      </c>
      <c r="D43" s="631">
        <f>'PL26'!S11</f>
        <v>442</v>
      </c>
      <c r="E43" s="631">
        <f t="shared" si="4"/>
        <v>-15535</v>
      </c>
      <c r="F43" s="628">
        <f t="shared" si="5"/>
        <v>2.7664768104149715</v>
      </c>
    </row>
    <row r="44" spans="1:6" s="19" customFormat="1" ht="21.75" customHeight="1">
      <c r="A44" s="29" t="s">
        <v>32</v>
      </c>
      <c r="B44" s="611" t="s">
        <v>789</v>
      </c>
      <c r="C44" s="626">
        <v>2100</v>
      </c>
      <c r="D44" s="626">
        <f>'PL24'!C100</f>
        <v>10706</v>
      </c>
      <c r="E44" s="626">
        <f t="shared" ref="E44:E55" si="6">D44-C44</f>
        <v>8606</v>
      </c>
      <c r="F44" s="624">
        <f t="shared" si="3"/>
        <v>509.8095238095238</v>
      </c>
    </row>
    <row r="45" spans="1:6" s="19" customFormat="1" ht="21.75" customHeight="1">
      <c r="A45" s="29" t="s">
        <v>67</v>
      </c>
      <c r="B45" s="625" t="s">
        <v>68</v>
      </c>
      <c r="C45" s="626">
        <v>1000</v>
      </c>
      <c r="D45" s="626">
        <f>'PL24'!C101</f>
        <v>1000</v>
      </c>
      <c r="E45" s="626">
        <f t="shared" si="6"/>
        <v>0</v>
      </c>
      <c r="F45" s="624">
        <f t="shared" si="3"/>
        <v>100</v>
      </c>
    </row>
    <row r="46" spans="1:6" s="19" customFormat="1" ht="21.75" customHeight="1">
      <c r="A46" s="29" t="s">
        <v>69</v>
      </c>
      <c r="B46" s="625" t="s">
        <v>70</v>
      </c>
      <c r="C46" s="626">
        <v>77933</v>
      </c>
      <c r="D46" s="626"/>
      <c r="E46" s="626">
        <f t="shared" si="6"/>
        <v>-77933</v>
      </c>
      <c r="F46" s="624">
        <f t="shared" si="3"/>
        <v>0</v>
      </c>
    </row>
    <row r="47" spans="1:6" s="19" customFormat="1" ht="21.75" customHeight="1">
      <c r="A47" s="29" t="s">
        <v>71</v>
      </c>
      <c r="B47" s="625" t="s">
        <v>72</v>
      </c>
      <c r="C47" s="626">
        <v>1191688</v>
      </c>
      <c r="D47" s="626">
        <f>'PL24'!C103</f>
        <v>333799</v>
      </c>
      <c r="E47" s="626">
        <f t="shared" si="6"/>
        <v>-857889</v>
      </c>
      <c r="F47" s="624">
        <f t="shared" si="3"/>
        <v>28.010603446539701</v>
      </c>
    </row>
    <row r="48" spans="1:6" s="19" customFormat="1" ht="21.75" customHeight="1">
      <c r="A48" s="29" t="s">
        <v>73</v>
      </c>
      <c r="B48" s="625" t="s">
        <v>74</v>
      </c>
      <c r="C48" s="626">
        <v>68500</v>
      </c>
      <c r="D48" s="626">
        <v>8657</v>
      </c>
      <c r="E48" s="626">
        <f t="shared" si="6"/>
        <v>-59843</v>
      </c>
      <c r="F48" s="624">
        <f t="shared" si="3"/>
        <v>12.637956204379561</v>
      </c>
    </row>
    <row r="49" spans="1:6" s="19" customFormat="1" ht="21.75" customHeight="1">
      <c r="A49" s="29" t="s">
        <v>1069</v>
      </c>
      <c r="B49" s="625" t="s">
        <v>1070</v>
      </c>
      <c r="C49" s="626">
        <f>281871+59211</f>
        <v>341082</v>
      </c>
      <c r="D49" s="626">
        <f>'PL24'!Q10+'PL24'!P106</f>
        <v>521625</v>
      </c>
      <c r="E49" s="626">
        <f t="shared" si="6"/>
        <v>180543</v>
      </c>
      <c r="F49" s="624">
        <f t="shared" si="3"/>
        <v>152.93243267014969</v>
      </c>
    </row>
    <row r="50" spans="1:6" s="19" customFormat="1" ht="21.75" customHeight="1">
      <c r="A50" s="29" t="s">
        <v>75</v>
      </c>
      <c r="B50" s="625" t="s">
        <v>76</v>
      </c>
      <c r="C50" s="626">
        <f>SUM(C51:C53)</f>
        <v>2282122</v>
      </c>
      <c r="D50" s="626">
        <f>D51+D52+D53</f>
        <v>4215729</v>
      </c>
      <c r="E50" s="626">
        <f t="shared" si="6"/>
        <v>1933607</v>
      </c>
      <c r="F50" s="624">
        <f t="shared" si="3"/>
        <v>184.72846762793574</v>
      </c>
    </row>
    <row r="51" spans="1:6" s="19" customFormat="1" ht="21.75" customHeight="1">
      <c r="A51" s="30" t="s">
        <v>15</v>
      </c>
      <c r="B51" s="635" t="s">
        <v>77</v>
      </c>
      <c r="C51" s="636">
        <v>1353958</v>
      </c>
      <c r="D51" s="636">
        <f>'PL24'!K10</f>
        <v>832473</v>
      </c>
      <c r="E51" s="636">
        <f t="shared" si="6"/>
        <v>-521485</v>
      </c>
      <c r="F51" s="624">
        <f t="shared" si="3"/>
        <v>61.484403504392311</v>
      </c>
    </row>
    <row r="52" spans="1:6" s="19" customFormat="1" ht="21.75" customHeight="1">
      <c r="A52" s="30" t="s">
        <v>25</v>
      </c>
      <c r="B52" s="635" t="s">
        <v>78</v>
      </c>
      <c r="C52" s="636">
        <v>823220</v>
      </c>
      <c r="D52" s="636">
        <f>'PL24'!O105</f>
        <v>3087727</v>
      </c>
      <c r="E52" s="636">
        <f t="shared" si="6"/>
        <v>2264507</v>
      </c>
      <c r="F52" s="624">
        <f t="shared" si="3"/>
        <v>375.07920118558826</v>
      </c>
    </row>
    <row r="53" spans="1:6" s="19" customFormat="1" ht="21.75" customHeight="1">
      <c r="A53" s="30" t="s">
        <v>32</v>
      </c>
      <c r="B53" s="635" t="s">
        <v>79</v>
      </c>
      <c r="C53" s="636">
        <f>104944+59211-59211</f>
        <v>104944</v>
      </c>
      <c r="D53" s="636">
        <f>'PL24'!P10-'PL24'!P106</f>
        <v>295529</v>
      </c>
      <c r="E53" s="636">
        <f t="shared" si="6"/>
        <v>190585</v>
      </c>
      <c r="F53" s="624">
        <f t="shared" si="3"/>
        <v>281.60638054581489</v>
      </c>
    </row>
    <row r="54" spans="1:6" s="19" customFormat="1" ht="21.75" customHeight="1">
      <c r="A54" s="612" t="s">
        <v>75</v>
      </c>
      <c r="B54" s="611" t="s">
        <v>794</v>
      </c>
      <c r="C54" s="636"/>
      <c r="D54" s="636">
        <f>'PL22'!G106</f>
        <v>3986753.4</v>
      </c>
      <c r="E54" s="636">
        <f t="shared" si="6"/>
        <v>3986753.4</v>
      </c>
      <c r="F54" s="637"/>
    </row>
    <row r="55" spans="1:6" s="19" customFormat="1" ht="21.75" customHeight="1">
      <c r="A55" s="613" t="s">
        <v>540</v>
      </c>
      <c r="B55" s="614" t="s">
        <v>1075</v>
      </c>
      <c r="C55" s="636"/>
      <c r="D55" s="636">
        <f>'PL22'!G107</f>
        <v>178867.80000000002</v>
      </c>
      <c r="E55" s="636">
        <f t="shared" si="6"/>
        <v>178867.80000000002</v>
      </c>
      <c r="F55" s="637"/>
    </row>
    <row r="56" spans="1:6" ht="15.95" customHeight="1">
      <c r="A56" s="31"/>
      <c r="B56" s="31"/>
      <c r="C56" s="31"/>
      <c r="D56" s="638"/>
      <c r="E56" s="639"/>
      <c r="F56" s="640"/>
    </row>
    <row r="57" spans="1:6" s="642" customFormat="1" ht="25.5" customHeight="1">
      <c r="A57" s="641" t="s">
        <v>80</v>
      </c>
      <c r="B57" s="641"/>
      <c r="C57" s="641"/>
      <c r="E57" s="643"/>
      <c r="F57" s="643"/>
    </row>
    <row r="58" spans="1:6" s="642" customFormat="1" ht="15" customHeight="1">
      <c r="A58" s="641"/>
      <c r="B58" s="641" t="s">
        <v>81</v>
      </c>
      <c r="C58" s="641"/>
      <c r="E58" s="643"/>
      <c r="F58" s="643"/>
    </row>
    <row r="59" spans="1:6" s="642" customFormat="1" ht="15" customHeight="1">
      <c r="A59" s="641"/>
      <c r="B59" s="1084" t="s">
        <v>82</v>
      </c>
      <c r="C59" s="1084"/>
      <c r="D59" s="1084"/>
      <c r="E59" s="1084"/>
      <c r="F59" s="1084"/>
    </row>
    <row r="60" spans="1:6" s="642" customFormat="1" ht="18.75">
      <c r="A60" s="644"/>
      <c r="B60" s="644"/>
      <c r="C60" s="644"/>
      <c r="D60" s="644"/>
      <c r="E60" s="643"/>
      <c r="F60" s="643"/>
    </row>
    <row r="61" spans="1:6" s="642" customFormat="1" ht="20.25" customHeight="1">
      <c r="A61" s="641" t="s">
        <v>83</v>
      </c>
      <c r="B61" s="641"/>
      <c r="C61" s="641"/>
      <c r="E61" s="643"/>
      <c r="F61" s="643"/>
    </row>
    <row r="62" spans="1:6" s="642" customFormat="1" ht="20.25" customHeight="1">
      <c r="A62" s="641"/>
      <c r="B62" s="641" t="s">
        <v>84</v>
      </c>
      <c r="C62" s="641"/>
      <c r="E62" s="643"/>
      <c r="F62" s="643"/>
    </row>
    <row r="63" spans="1:6" s="642" customFormat="1" ht="20.25" customHeight="1">
      <c r="A63" s="641"/>
      <c r="B63" s="1084" t="s">
        <v>82</v>
      </c>
      <c r="C63" s="1084"/>
      <c r="D63" s="1084"/>
      <c r="E63" s="1084"/>
      <c r="F63" s="1084"/>
    </row>
    <row r="64" spans="1:6" s="642" customFormat="1" ht="20.25" customHeight="1">
      <c r="A64" s="641"/>
      <c r="B64" s="1084" t="s">
        <v>85</v>
      </c>
      <c r="C64" s="1084"/>
      <c r="D64" s="1084"/>
      <c r="E64" s="1084"/>
      <c r="F64" s="1084"/>
    </row>
    <row r="65" spans="1:3" ht="18.75">
      <c r="A65" s="19"/>
      <c r="B65" s="19"/>
      <c r="C65" s="19"/>
    </row>
  </sheetData>
  <mergeCells count="12">
    <mergeCell ref="B59:F59"/>
    <mergeCell ref="B63:F63"/>
    <mergeCell ref="B64:F64"/>
    <mergeCell ref="A2:F2"/>
    <mergeCell ref="A3:F3"/>
    <mergeCell ref="A5:A7"/>
    <mergeCell ref="B5:B7"/>
    <mergeCell ref="C5:C7"/>
    <mergeCell ref="D5:D7"/>
    <mergeCell ref="E5:F5"/>
    <mergeCell ref="E6:E7"/>
    <mergeCell ref="F6:F7"/>
  </mergeCells>
  <printOptions horizontalCentered="1"/>
  <pageMargins left="0.6692913385826772" right="0.35433070866141736" top="0.47244094488188981" bottom="0.43307086614173229" header="0.19685039370078741" footer="0.23622047244094491"/>
  <pageSetup paperSize="9" scale="51" fitToHeight="0" orientation="portrait" r:id="rId1"/>
  <headerFooter alignWithMargins="0">
    <oddFooter>&amp;C&amp;".VnTime,  Italic"&amp;8
&amp;".VnTimeH,Regular"&amp;12&amp;P/&amp;N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125"/>
  <sheetViews>
    <sheetView zoomScale="70" zoomScaleNormal="70" workbookViewId="0">
      <pane xSplit="2" ySplit="9" topLeftCell="C10" activePane="bottomRight" state="frozen"/>
      <selection activeCell="A40" sqref="A40:XFD41"/>
      <selection pane="topRight" activeCell="A40" sqref="A40:XFD41"/>
      <selection pane="bottomLeft" activeCell="A40" sqref="A40:XFD41"/>
      <selection pane="bottomRight" activeCell="A40" sqref="A40:XFD41"/>
    </sheetView>
  </sheetViews>
  <sheetFormatPr defaultRowHeight="15.75"/>
  <cols>
    <col min="1" max="1" width="5.85546875" style="651" customWidth="1"/>
    <col min="2" max="2" width="54.7109375" style="677" customWidth="1"/>
    <col min="3" max="3" width="14" style="651" customWidth="1"/>
    <col min="4" max="4" width="13.85546875" style="651" customWidth="1"/>
    <col min="5" max="5" width="15.85546875" style="651" customWidth="1"/>
    <col min="6" max="6" width="12.5703125" style="651" customWidth="1"/>
    <col min="7" max="8" width="11.5703125" style="651" customWidth="1"/>
    <col min="9" max="9" width="15.140625" style="651" customWidth="1"/>
    <col min="10" max="10" width="11.5703125" style="651" customWidth="1"/>
    <col min="11" max="11" width="14.42578125" style="651" customWidth="1"/>
    <col min="12" max="12" width="13.85546875" style="651" customWidth="1"/>
    <col min="13" max="13" width="13.5703125" style="651" customWidth="1"/>
    <col min="14" max="14" width="15.140625" style="651" customWidth="1"/>
    <col min="15" max="15" width="15.42578125" style="651" customWidth="1"/>
    <col min="16" max="16" width="12.85546875" style="651" customWidth="1"/>
    <col min="17" max="17" width="13.5703125" style="651" customWidth="1"/>
    <col min="18" max="18" width="13.42578125" style="651" hidden="1" customWidth="1"/>
    <col min="19" max="19" width="12.140625" style="651" customWidth="1"/>
    <col min="20" max="256" width="9.140625" style="651"/>
    <col min="257" max="257" width="5.85546875" style="651" customWidth="1"/>
    <col min="258" max="258" width="54.7109375" style="651" customWidth="1"/>
    <col min="259" max="259" width="14" style="651" customWidth="1"/>
    <col min="260" max="260" width="13.85546875" style="651" customWidth="1"/>
    <col min="261" max="261" width="15.85546875" style="651" customWidth="1"/>
    <col min="262" max="264" width="11.5703125" style="651" customWidth="1"/>
    <col min="265" max="265" width="15.140625" style="651" customWidth="1"/>
    <col min="266" max="266" width="11.5703125" style="651" customWidth="1"/>
    <col min="267" max="267" width="14.42578125" style="651" customWidth="1"/>
    <col min="268" max="268" width="13.85546875" style="651" customWidth="1"/>
    <col min="269" max="269" width="13.5703125" style="651" customWidth="1"/>
    <col min="270" max="270" width="15.140625" style="651" customWidth="1"/>
    <col min="271" max="271" width="15.42578125" style="651" customWidth="1"/>
    <col min="272" max="272" width="12.85546875" style="651" customWidth="1"/>
    <col min="273" max="273" width="13.5703125" style="651" customWidth="1"/>
    <col min="274" max="274" width="13.42578125" style="651" bestFit="1" customWidth="1"/>
    <col min="275" max="275" width="12.140625" style="651" customWidth="1"/>
    <col min="276" max="512" width="9.140625" style="651"/>
    <col min="513" max="513" width="5.85546875" style="651" customWidth="1"/>
    <col min="514" max="514" width="54.7109375" style="651" customWidth="1"/>
    <col min="515" max="515" width="14" style="651" customWidth="1"/>
    <col min="516" max="516" width="13.85546875" style="651" customWidth="1"/>
    <col min="517" max="517" width="15.85546875" style="651" customWidth="1"/>
    <col min="518" max="520" width="11.5703125" style="651" customWidth="1"/>
    <col min="521" max="521" width="15.140625" style="651" customWidth="1"/>
    <col min="522" max="522" width="11.5703125" style="651" customWidth="1"/>
    <col min="523" max="523" width="14.42578125" style="651" customWidth="1"/>
    <col min="524" max="524" width="13.85546875" style="651" customWidth="1"/>
    <col min="525" max="525" width="13.5703125" style="651" customWidth="1"/>
    <col min="526" max="526" width="15.140625" style="651" customWidth="1"/>
    <col min="527" max="527" width="15.42578125" style="651" customWidth="1"/>
    <col min="528" max="528" width="12.85546875" style="651" customWidth="1"/>
    <col min="529" max="529" width="13.5703125" style="651" customWidth="1"/>
    <col min="530" max="530" width="13.42578125" style="651" bestFit="1" customWidth="1"/>
    <col min="531" max="531" width="12.140625" style="651" customWidth="1"/>
    <col min="532" max="768" width="9.140625" style="651"/>
    <col min="769" max="769" width="5.85546875" style="651" customWidth="1"/>
    <col min="770" max="770" width="54.7109375" style="651" customWidth="1"/>
    <col min="771" max="771" width="14" style="651" customWidth="1"/>
    <col min="772" max="772" width="13.85546875" style="651" customWidth="1"/>
    <col min="773" max="773" width="15.85546875" style="651" customWidth="1"/>
    <col min="774" max="776" width="11.5703125" style="651" customWidth="1"/>
    <col min="777" max="777" width="15.140625" style="651" customWidth="1"/>
    <col min="778" max="778" width="11.5703125" style="651" customWidth="1"/>
    <col min="779" max="779" width="14.42578125" style="651" customWidth="1"/>
    <col min="780" max="780" width="13.85546875" style="651" customWidth="1"/>
    <col min="781" max="781" width="13.5703125" style="651" customWidth="1"/>
    <col min="782" max="782" width="15.140625" style="651" customWidth="1"/>
    <col min="783" max="783" width="15.42578125" style="651" customWidth="1"/>
    <col min="784" max="784" width="12.85546875" style="651" customWidth="1"/>
    <col min="785" max="785" width="13.5703125" style="651" customWidth="1"/>
    <col min="786" max="786" width="13.42578125" style="651" bestFit="1" customWidth="1"/>
    <col min="787" max="787" width="12.140625" style="651" customWidth="1"/>
    <col min="788" max="1024" width="9.140625" style="651"/>
    <col min="1025" max="1025" width="5.85546875" style="651" customWidth="1"/>
    <col min="1026" max="1026" width="54.7109375" style="651" customWidth="1"/>
    <col min="1027" max="1027" width="14" style="651" customWidth="1"/>
    <col min="1028" max="1028" width="13.85546875" style="651" customWidth="1"/>
    <col min="1029" max="1029" width="15.85546875" style="651" customWidth="1"/>
    <col min="1030" max="1032" width="11.5703125" style="651" customWidth="1"/>
    <col min="1033" max="1033" width="15.140625" style="651" customWidth="1"/>
    <col min="1034" max="1034" width="11.5703125" style="651" customWidth="1"/>
    <col min="1035" max="1035" width="14.42578125" style="651" customWidth="1"/>
    <col min="1036" max="1036" width="13.85546875" style="651" customWidth="1"/>
    <col min="1037" max="1037" width="13.5703125" style="651" customWidth="1"/>
    <col min="1038" max="1038" width="15.140625" style="651" customWidth="1"/>
    <col min="1039" max="1039" width="15.42578125" style="651" customWidth="1"/>
    <col min="1040" max="1040" width="12.85546875" style="651" customWidth="1"/>
    <col min="1041" max="1041" width="13.5703125" style="651" customWidth="1"/>
    <col min="1042" max="1042" width="13.42578125" style="651" bestFit="1" customWidth="1"/>
    <col min="1043" max="1043" width="12.140625" style="651" customWidth="1"/>
    <col min="1044" max="1280" width="9.140625" style="651"/>
    <col min="1281" max="1281" width="5.85546875" style="651" customWidth="1"/>
    <col min="1282" max="1282" width="54.7109375" style="651" customWidth="1"/>
    <col min="1283" max="1283" width="14" style="651" customWidth="1"/>
    <col min="1284" max="1284" width="13.85546875" style="651" customWidth="1"/>
    <col min="1285" max="1285" width="15.85546875" style="651" customWidth="1"/>
    <col min="1286" max="1288" width="11.5703125" style="651" customWidth="1"/>
    <col min="1289" max="1289" width="15.140625" style="651" customWidth="1"/>
    <col min="1290" max="1290" width="11.5703125" style="651" customWidth="1"/>
    <col min="1291" max="1291" width="14.42578125" style="651" customWidth="1"/>
    <col min="1292" max="1292" width="13.85546875" style="651" customWidth="1"/>
    <col min="1293" max="1293" width="13.5703125" style="651" customWidth="1"/>
    <col min="1294" max="1294" width="15.140625" style="651" customWidth="1"/>
    <col min="1295" max="1295" width="15.42578125" style="651" customWidth="1"/>
    <col min="1296" max="1296" width="12.85546875" style="651" customWidth="1"/>
    <col min="1297" max="1297" width="13.5703125" style="651" customWidth="1"/>
    <col min="1298" max="1298" width="13.42578125" style="651" bestFit="1" customWidth="1"/>
    <col min="1299" max="1299" width="12.140625" style="651" customWidth="1"/>
    <col min="1300" max="1536" width="9.140625" style="651"/>
    <col min="1537" max="1537" width="5.85546875" style="651" customWidth="1"/>
    <col min="1538" max="1538" width="54.7109375" style="651" customWidth="1"/>
    <col min="1539" max="1539" width="14" style="651" customWidth="1"/>
    <col min="1540" max="1540" width="13.85546875" style="651" customWidth="1"/>
    <col min="1541" max="1541" width="15.85546875" style="651" customWidth="1"/>
    <col min="1542" max="1544" width="11.5703125" style="651" customWidth="1"/>
    <col min="1545" max="1545" width="15.140625" style="651" customWidth="1"/>
    <col min="1546" max="1546" width="11.5703125" style="651" customWidth="1"/>
    <col min="1547" max="1547" width="14.42578125" style="651" customWidth="1"/>
    <col min="1548" max="1548" width="13.85546875" style="651" customWidth="1"/>
    <col min="1549" max="1549" width="13.5703125" style="651" customWidth="1"/>
    <col min="1550" max="1550" width="15.140625" style="651" customWidth="1"/>
    <col min="1551" max="1551" width="15.42578125" style="651" customWidth="1"/>
    <col min="1552" max="1552" width="12.85546875" style="651" customWidth="1"/>
    <col min="1553" max="1553" width="13.5703125" style="651" customWidth="1"/>
    <col min="1554" max="1554" width="13.42578125" style="651" bestFit="1" customWidth="1"/>
    <col min="1555" max="1555" width="12.140625" style="651" customWidth="1"/>
    <col min="1556" max="1792" width="9.140625" style="651"/>
    <col min="1793" max="1793" width="5.85546875" style="651" customWidth="1"/>
    <col min="1794" max="1794" width="54.7109375" style="651" customWidth="1"/>
    <col min="1795" max="1795" width="14" style="651" customWidth="1"/>
    <col min="1796" max="1796" width="13.85546875" style="651" customWidth="1"/>
    <col min="1797" max="1797" width="15.85546875" style="651" customWidth="1"/>
    <col min="1798" max="1800" width="11.5703125" style="651" customWidth="1"/>
    <col min="1801" max="1801" width="15.140625" style="651" customWidth="1"/>
    <col min="1802" max="1802" width="11.5703125" style="651" customWidth="1"/>
    <col min="1803" max="1803" width="14.42578125" style="651" customWidth="1"/>
    <col min="1804" max="1804" width="13.85546875" style="651" customWidth="1"/>
    <col min="1805" max="1805" width="13.5703125" style="651" customWidth="1"/>
    <col min="1806" max="1806" width="15.140625" style="651" customWidth="1"/>
    <col min="1807" max="1807" width="15.42578125" style="651" customWidth="1"/>
    <col min="1808" max="1808" width="12.85546875" style="651" customWidth="1"/>
    <col min="1809" max="1809" width="13.5703125" style="651" customWidth="1"/>
    <col min="1810" max="1810" width="13.42578125" style="651" bestFit="1" customWidth="1"/>
    <col min="1811" max="1811" width="12.140625" style="651" customWidth="1"/>
    <col min="1812" max="2048" width="9.140625" style="651"/>
    <col min="2049" max="2049" width="5.85546875" style="651" customWidth="1"/>
    <col min="2050" max="2050" width="54.7109375" style="651" customWidth="1"/>
    <col min="2051" max="2051" width="14" style="651" customWidth="1"/>
    <col min="2052" max="2052" width="13.85546875" style="651" customWidth="1"/>
    <col min="2053" max="2053" width="15.85546875" style="651" customWidth="1"/>
    <col min="2054" max="2056" width="11.5703125" style="651" customWidth="1"/>
    <col min="2057" max="2057" width="15.140625" style="651" customWidth="1"/>
    <col min="2058" max="2058" width="11.5703125" style="651" customWidth="1"/>
    <col min="2059" max="2059" width="14.42578125" style="651" customWidth="1"/>
    <col min="2060" max="2060" width="13.85546875" style="651" customWidth="1"/>
    <col min="2061" max="2061" width="13.5703125" style="651" customWidth="1"/>
    <col min="2062" max="2062" width="15.140625" style="651" customWidth="1"/>
    <col min="2063" max="2063" width="15.42578125" style="651" customWidth="1"/>
    <col min="2064" max="2064" width="12.85546875" style="651" customWidth="1"/>
    <col min="2065" max="2065" width="13.5703125" style="651" customWidth="1"/>
    <col min="2066" max="2066" width="13.42578125" style="651" bestFit="1" customWidth="1"/>
    <col min="2067" max="2067" width="12.140625" style="651" customWidth="1"/>
    <col min="2068" max="2304" width="9.140625" style="651"/>
    <col min="2305" max="2305" width="5.85546875" style="651" customWidth="1"/>
    <col min="2306" max="2306" width="54.7109375" style="651" customWidth="1"/>
    <col min="2307" max="2307" width="14" style="651" customWidth="1"/>
    <col min="2308" max="2308" width="13.85546875" style="651" customWidth="1"/>
    <col min="2309" max="2309" width="15.85546875" style="651" customWidth="1"/>
    <col min="2310" max="2312" width="11.5703125" style="651" customWidth="1"/>
    <col min="2313" max="2313" width="15.140625" style="651" customWidth="1"/>
    <col min="2314" max="2314" width="11.5703125" style="651" customWidth="1"/>
    <col min="2315" max="2315" width="14.42578125" style="651" customWidth="1"/>
    <col min="2316" max="2316" width="13.85546875" style="651" customWidth="1"/>
    <col min="2317" max="2317" width="13.5703125" style="651" customWidth="1"/>
    <col min="2318" max="2318" width="15.140625" style="651" customWidth="1"/>
    <col min="2319" max="2319" width="15.42578125" style="651" customWidth="1"/>
    <col min="2320" max="2320" width="12.85546875" style="651" customWidth="1"/>
    <col min="2321" max="2321" width="13.5703125" style="651" customWidth="1"/>
    <col min="2322" max="2322" width="13.42578125" style="651" bestFit="1" customWidth="1"/>
    <col min="2323" max="2323" width="12.140625" style="651" customWidth="1"/>
    <col min="2324" max="2560" width="9.140625" style="651"/>
    <col min="2561" max="2561" width="5.85546875" style="651" customWidth="1"/>
    <col min="2562" max="2562" width="54.7109375" style="651" customWidth="1"/>
    <col min="2563" max="2563" width="14" style="651" customWidth="1"/>
    <col min="2564" max="2564" width="13.85546875" style="651" customWidth="1"/>
    <col min="2565" max="2565" width="15.85546875" style="651" customWidth="1"/>
    <col min="2566" max="2568" width="11.5703125" style="651" customWidth="1"/>
    <col min="2569" max="2569" width="15.140625" style="651" customWidth="1"/>
    <col min="2570" max="2570" width="11.5703125" style="651" customWidth="1"/>
    <col min="2571" max="2571" width="14.42578125" style="651" customWidth="1"/>
    <col min="2572" max="2572" width="13.85546875" style="651" customWidth="1"/>
    <col min="2573" max="2573" width="13.5703125" style="651" customWidth="1"/>
    <col min="2574" max="2574" width="15.140625" style="651" customWidth="1"/>
    <col min="2575" max="2575" width="15.42578125" style="651" customWidth="1"/>
    <col min="2576" max="2576" width="12.85546875" style="651" customWidth="1"/>
    <col min="2577" max="2577" width="13.5703125" style="651" customWidth="1"/>
    <col min="2578" max="2578" width="13.42578125" style="651" bestFit="1" customWidth="1"/>
    <col min="2579" max="2579" width="12.140625" style="651" customWidth="1"/>
    <col min="2580" max="2816" width="9.140625" style="651"/>
    <col min="2817" max="2817" width="5.85546875" style="651" customWidth="1"/>
    <col min="2818" max="2818" width="54.7109375" style="651" customWidth="1"/>
    <col min="2819" max="2819" width="14" style="651" customWidth="1"/>
    <col min="2820" max="2820" width="13.85546875" style="651" customWidth="1"/>
    <col min="2821" max="2821" width="15.85546875" style="651" customWidth="1"/>
    <col min="2822" max="2824" width="11.5703125" style="651" customWidth="1"/>
    <col min="2825" max="2825" width="15.140625" style="651" customWidth="1"/>
    <col min="2826" max="2826" width="11.5703125" style="651" customWidth="1"/>
    <col min="2827" max="2827" width="14.42578125" style="651" customWidth="1"/>
    <col min="2828" max="2828" width="13.85546875" style="651" customWidth="1"/>
    <col min="2829" max="2829" width="13.5703125" style="651" customWidth="1"/>
    <col min="2830" max="2830" width="15.140625" style="651" customWidth="1"/>
    <col min="2831" max="2831" width="15.42578125" style="651" customWidth="1"/>
    <col min="2832" max="2832" width="12.85546875" style="651" customWidth="1"/>
    <col min="2833" max="2833" width="13.5703125" style="651" customWidth="1"/>
    <col min="2834" max="2834" width="13.42578125" style="651" bestFit="1" customWidth="1"/>
    <col min="2835" max="2835" width="12.140625" style="651" customWidth="1"/>
    <col min="2836" max="3072" width="9.140625" style="651"/>
    <col min="3073" max="3073" width="5.85546875" style="651" customWidth="1"/>
    <col min="3074" max="3074" width="54.7109375" style="651" customWidth="1"/>
    <col min="3075" max="3075" width="14" style="651" customWidth="1"/>
    <col min="3076" max="3076" width="13.85546875" style="651" customWidth="1"/>
    <col min="3077" max="3077" width="15.85546875" style="651" customWidth="1"/>
    <col min="3078" max="3080" width="11.5703125" style="651" customWidth="1"/>
    <col min="3081" max="3081" width="15.140625" style="651" customWidth="1"/>
    <col min="3082" max="3082" width="11.5703125" style="651" customWidth="1"/>
    <col min="3083" max="3083" width="14.42578125" style="651" customWidth="1"/>
    <col min="3084" max="3084" width="13.85546875" style="651" customWidth="1"/>
    <col min="3085" max="3085" width="13.5703125" style="651" customWidth="1"/>
    <col min="3086" max="3086" width="15.140625" style="651" customWidth="1"/>
    <col min="3087" max="3087" width="15.42578125" style="651" customWidth="1"/>
    <col min="3088" max="3088" width="12.85546875" style="651" customWidth="1"/>
    <col min="3089" max="3089" width="13.5703125" style="651" customWidth="1"/>
    <col min="3090" max="3090" width="13.42578125" style="651" bestFit="1" customWidth="1"/>
    <col min="3091" max="3091" width="12.140625" style="651" customWidth="1"/>
    <col min="3092" max="3328" width="9.140625" style="651"/>
    <col min="3329" max="3329" width="5.85546875" style="651" customWidth="1"/>
    <col min="3330" max="3330" width="54.7109375" style="651" customWidth="1"/>
    <col min="3331" max="3331" width="14" style="651" customWidth="1"/>
    <col min="3332" max="3332" width="13.85546875" style="651" customWidth="1"/>
    <col min="3333" max="3333" width="15.85546875" style="651" customWidth="1"/>
    <col min="3334" max="3336" width="11.5703125" style="651" customWidth="1"/>
    <col min="3337" max="3337" width="15.140625" style="651" customWidth="1"/>
    <col min="3338" max="3338" width="11.5703125" style="651" customWidth="1"/>
    <col min="3339" max="3339" width="14.42578125" style="651" customWidth="1"/>
    <col min="3340" max="3340" width="13.85546875" style="651" customWidth="1"/>
    <col min="3341" max="3341" width="13.5703125" style="651" customWidth="1"/>
    <col min="3342" max="3342" width="15.140625" style="651" customWidth="1"/>
    <col min="3343" max="3343" width="15.42578125" style="651" customWidth="1"/>
    <col min="3344" max="3344" width="12.85546875" style="651" customWidth="1"/>
    <col min="3345" max="3345" width="13.5703125" style="651" customWidth="1"/>
    <col min="3346" max="3346" width="13.42578125" style="651" bestFit="1" customWidth="1"/>
    <col min="3347" max="3347" width="12.140625" style="651" customWidth="1"/>
    <col min="3348" max="3584" width="9.140625" style="651"/>
    <col min="3585" max="3585" width="5.85546875" style="651" customWidth="1"/>
    <col min="3586" max="3586" width="54.7109375" style="651" customWidth="1"/>
    <col min="3587" max="3587" width="14" style="651" customWidth="1"/>
    <col min="3588" max="3588" width="13.85546875" style="651" customWidth="1"/>
    <col min="3589" max="3589" width="15.85546875" style="651" customWidth="1"/>
    <col min="3590" max="3592" width="11.5703125" style="651" customWidth="1"/>
    <col min="3593" max="3593" width="15.140625" style="651" customWidth="1"/>
    <col min="3594" max="3594" width="11.5703125" style="651" customWidth="1"/>
    <col min="3595" max="3595" width="14.42578125" style="651" customWidth="1"/>
    <col min="3596" max="3596" width="13.85546875" style="651" customWidth="1"/>
    <col min="3597" max="3597" width="13.5703125" style="651" customWidth="1"/>
    <col min="3598" max="3598" width="15.140625" style="651" customWidth="1"/>
    <col min="3599" max="3599" width="15.42578125" style="651" customWidth="1"/>
    <col min="3600" max="3600" width="12.85546875" style="651" customWidth="1"/>
    <col min="3601" max="3601" width="13.5703125" style="651" customWidth="1"/>
    <col min="3602" max="3602" width="13.42578125" style="651" bestFit="1" customWidth="1"/>
    <col min="3603" max="3603" width="12.140625" style="651" customWidth="1"/>
    <col min="3604" max="3840" width="9.140625" style="651"/>
    <col min="3841" max="3841" width="5.85546875" style="651" customWidth="1"/>
    <col min="3842" max="3842" width="54.7109375" style="651" customWidth="1"/>
    <col min="3843" max="3843" width="14" style="651" customWidth="1"/>
    <col min="3844" max="3844" width="13.85546875" style="651" customWidth="1"/>
    <col min="3845" max="3845" width="15.85546875" style="651" customWidth="1"/>
    <col min="3846" max="3848" width="11.5703125" style="651" customWidth="1"/>
    <col min="3849" max="3849" width="15.140625" style="651" customWidth="1"/>
    <col min="3850" max="3850" width="11.5703125" style="651" customWidth="1"/>
    <col min="3851" max="3851" width="14.42578125" style="651" customWidth="1"/>
    <col min="3852" max="3852" width="13.85546875" style="651" customWidth="1"/>
    <col min="3853" max="3853" width="13.5703125" style="651" customWidth="1"/>
    <col min="3854" max="3854" width="15.140625" style="651" customWidth="1"/>
    <col min="3855" max="3855" width="15.42578125" style="651" customWidth="1"/>
    <col min="3856" max="3856" width="12.85546875" style="651" customWidth="1"/>
    <col min="3857" max="3857" width="13.5703125" style="651" customWidth="1"/>
    <col min="3858" max="3858" width="13.42578125" style="651" bestFit="1" customWidth="1"/>
    <col min="3859" max="3859" width="12.140625" style="651" customWidth="1"/>
    <col min="3860" max="4096" width="9.140625" style="651"/>
    <col min="4097" max="4097" width="5.85546875" style="651" customWidth="1"/>
    <col min="4098" max="4098" width="54.7109375" style="651" customWidth="1"/>
    <col min="4099" max="4099" width="14" style="651" customWidth="1"/>
    <col min="4100" max="4100" width="13.85546875" style="651" customWidth="1"/>
    <col min="4101" max="4101" width="15.85546875" style="651" customWidth="1"/>
    <col min="4102" max="4104" width="11.5703125" style="651" customWidth="1"/>
    <col min="4105" max="4105" width="15.140625" style="651" customWidth="1"/>
    <col min="4106" max="4106" width="11.5703125" style="651" customWidth="1"/>
    <col min="4107" max="4107" width="14.42578125" style="651" customWidth="1"/>
    <col min="4108" max="4108" width="13.85546875" style="651" customWidth="1"/>
    <col min="4109" max="4109" width="13.5703125" style="651" customWidth="1"/>
    <col min="4110" max="4110" width="15.140625" style="651" customWidth="1"/>
    <col min="4111" max="4111" width="15.42578125" style="651" customWidth="1"/>
    <col min="4112" max="4112" width="12.85546875" style="651" customWidth="1"/>
    <col min="4113" max="4113" width="13.5703125" style="651" customWidth="1"/>
    <col min="4114" max="4114" width="13.42578125" style="651" bestFit="1" customWidth="1"/>
    <col min="4115" max="4115" width="12.140625" style="651" customWidth="1"/>
    <col min="4116" max="4352" width="9.140625" style="651"/>
    <col min="4353" max="4353" width="5.85546875" style="651" customWidth="1"/>
    <col min="4354" max="4354" width="54.7109375" style="651" customWidth="1"/>
    <col min="4355" max="4355" width="14" style="651" customWidth="1"/>
    <col min="4356" max="4356" width="13.85546875" style="651" customWidth="1"/>
    <col min="4357" max="4357" width="15.85546875" style="651" customWidth="1"/>
    <col min="4358" max="4360" width="11.5703125" style="651" customWidth="1"/>
    <col min="4361" max="4361" width="15.140625" style="651" customWidth="1"/>
    <col min="4362" max="4362" width="11.5703125" style="651" customWidth="1"/>
    <col min="4363" max="4363" width="14.42578125" style="651" customWidth="1"/>
    <col min="4364" max="4364" width="13.85546875" style="651" customWidth="1"/>
    <col min="4365" max="4365" width="13.5703125" style="651" customWidth="1"/>
    <col min="4366" max="4366" width="15.140625" style="651" customWidth="1"/>
    <col min="4367" max="4367" width="15.42578125" style="651" customWidth="1"/>
    <col min="4368" max="4368" width="12.85546875" style="651" customWidth="1"/>
    <col min="4369" max="4369" width="13.5703125" style="651" customWidth="1"/>
    <col min="4370" max="4370" width="13.42578125" style="651" bestFit="1" customWidth="1"/>
    <col min="4371" max="4371" width="12.140625" style="651" customWidth="1"/>
    <col min="4372" max="4608" width="9.140625" style="651"/>
    <col min="4609" max="4609" width="5.85546875" style="651" customWidth="1"/>
    <col min="4610" max="4610" width="54.7109375" style="651" customWidth="1"/>
    <col min="4611" max="4611" width="14" style="651" customWidth="1"/>
    <col min="4612" max="4612" width="13.85546875" style="651" customWidth="1"/>
    <col min="4613" max="4613" width="15.85546875" style="651" customWidth="1"/>
    <col min="4614" max="4616" width="11.5703125" style="651" customWidth="1"/>
    <col min="4617" max="4617" width="15.140625" style="651" customWidth="1"/>
    <col min="4618" max="4618" width="11.5703125" style="651" customWidth="1"/>
    <col min="4619" max="4619" width="14.42578125" style="651" customWidth="1"/>
    <col min="4620" max="4620" width="13.85546875" style="651" customWidth="1"/>
    <col min="4621" max="4621" width="13.5703125" style="651" customWidth="1"/>
    <col min="4622" max="4622" width="15.140625" style="651" customWidth="1"/>
    <col min="4623" max="4623" width="15.42578125" style="651" customWidth="1"/>
    <col min="4624" max="4624" width="12.85546875" style="651" customWidth="1"/>
    <col min="4625" max="4625" width="13.5703125" style="651" customWidth="1"/>
    <col min="4626" max="4626" width="13.42578125" style="651" bestFit="1" customWidth="1"/>
    <col min="4627" max="4627" width="12.140625" style="651" customWidth="1"/>
    <col min="4628" max="4864" width="9.140625" style="651"/>
    <col min="4865" max="4865" width="5.85546875" style="651" customWidth="1"/>
    <col min="4866" max="4866" width="54.7109375" style="651" customWidth="1"/>
    <col min="4867" max="4867" width="14" style="651" customWidth="1"/>
    <col min="4868" max="4868" width="13.85546875" style="651" customWidth="1"/>
    <col min="4869" max="4869" width="15.85546875" style="651" customWidth="1"/>
    <col min="4870" max="4872" width="11.5703125" style="651" customWidth="1"/>
    <col min="4873" max="4873" width="15.140625" style="651" customWidth="1"/>
    <col min="4874" max="4874" width="11.5703125" style="651" customWidth="1"/>
    <col min="4875" max="4875" width="14.42578125" style="651" customWidth="1"/>
    <col min="4876" max="4876" width="13.85546875" style="651" customWidth="1"/>
    <col min="4877" max="4877" width="13.5703125" style="651" customWidth="1"/>
    <col min="4878" max="4878" width="15.140625" style="651" customWidth="1"/>
    <col min="4879" max="4879" width="15.42578125" style="651" customWidth="1"/>
    <col min="4880" max="4880" width="12.85546875" style="651" customWidth="1"/>
    <col min="4881" max="4881" width="13.5703125" style="651" customWidth="1"/>
    <col min="4882" max="4882" width="13.42578125" style="651" bestFit="1" customWidth="1"/>
    <col min="4883" max="4883" width="12.140625" style="651" customWidth="1"/>
    <col min="4884" max="5120" width="9.140625" style="651"/>
    <col min="5121" max="5121" width="5.85546875" style="651" customWidth="1"/>
    <col min="5122" max="5122" width="54.7109375" style="651" customWidth="1"/>
    <col min="5123" max="5123" width="14" style="651" customWidth="1"/>
    <col min="5124" max="5124" width="13.85546875" style="651" customWidth="1"/>
    <col min="5125" max="5125" width="15.85546875" style="651" customWidth="1"/>
    <col min="5126" max="5128" width="11.5703125" style="651" customWidth="1"/>
    <col min="5129" max="5129" width="15.140625" style="651" customWidth="1"/>
    <col min="5130" max="5130" width="11.5703125" style="651" customWidth="1"/>
    <col min="5131" max="5131" width="14.42578125" style="651" customWidth="1"/>
    <col min="5132" max="5132" width="13.85546875" style="651" customWidth="1"/>
    <col min="5133" max="5133" width="13.5703125" style="651" customWidth="1"/>
    <col min="5134" max="5134" width="15.140625" style="651" customWidth="1"/>
    <col min="5135" max="5135" width="15.42578125" style="651" customWidth="1"/>
    <col min="5136" max="5136" width="12.85546875" style="651" customWidth="1"/>
    <col min="5137" max="5137" width="13.5703125" style="651" customWidth="1"/>
    <col min="5138" max="5138" width="13.42578125" style="651" bestFit="1" customWidth="1"/>
    <col min="5139" max="5139" width="12.140625" style="651" customWidth="1"/>
    <col min="5140" max="5376" width="9.140625" style="651"/>
    <col min="5377" max="5377" width="5.85546875" style="651" customWidth="1"/>
    <col min="5378" max="5378" width="54.7109375" style="651" customWidth="1"/>
    <col min="5379" max="5379" width="14" style="651" customWidth="1"/>
    <col min="5380" max="5380" width="13.85546875" style="651" customWidth="1"/>
    <col min="5381" max="5381" width="15.85546875" style="651" customWidth="1"/>
    <col min="5382" max="5384" width="11.5703125" style="651" customWidth="1"/>
    <col min="5385" max="5385" width="15.140625" style="651" customWidth="1"/>
    <col min="5386" max="5386" width="11.5703125" style="651" customWidth="1"/>
    <col min="5387" max="5387" width="14.42578125" style="651" customWidth="1"/>
    <col min="5388" max="5388" width="13.85546875" style="651" customWidth="1"/>
    <col min="5389" max="5389" width="13.5703125" style="651" customWidth="1"/>
    <col min="5390" max="5390" width="15.140625" style="651" customWidth="1"/>
    <col min="5391" max="5391" width="15.42578125" style="651" customWidth="1"/>
    <col min="5392" max="5392" width="12.85546875" style="651" customWidth="1"/>
    <col min="5393" max="5393" width="13.5703125" style="651" customWidth="1"/>
    <col min="5394" max="5394" width="13.42578125" style="651" bestFit="1" customWidth="1"/>
    <col min="5395" max="5395" width="12.140625" style="651" customWidth="1"/>
    <col min="5396" max="5632" width="9.140625" style="651"/>
    <col min="5633" max="5633" width="5.85546875" style="651" customWidth="1"/>
    <col min="5634" max="5634" width="54.7109375" style="651" customWidth="1"/>
    <col min="5635" max="5635" width="14" style="651" customWidth="1"/>
    <col min="5636" max="5636" width="13.85546875" style="651" customWidth="1"/>
    <col min="5637" max="5637" width="15.85546875" style="651" customWidth="1"/>
    <col min="5638" max="5640" width="11.5703125" style="651" customWidth="1"/>
    <col min="5641" max="5641" width="15.140625" style="651" customWidth="1"/>
    <col min="5642" max="5642" width="11.5703125" style="651" customWidth="1"/>
    <col min="5643" max="5643" width="14.42578125" style="651" customWidth="1"/>
    <col min="5644" max="5644" width="13.85546875" style="651" customWidth="1"/>
    <col min="5645" max="5645" width="13.5703125" style="651" customWidth="1"/>
    <col min="5646" max="5646" width="15.140625" style="651" customWidth="1"/>
    <col min="5647" max="5647" width="15.42578125" style="651" customWidth="1"/>
    <col min="5648" max="5648" width="12.85546875" style="651" customWidth="1"/>
    <col min="5649" max="5649" width="13.5703125" style="651" customWidth="1"/>
    <col min="5650" max="5650" width="13.42578125" style="651" bestFit="1" customWidth="1"/>
    <col min="5651" max="5651" width="12.140625" style="651" customWidth="1"/>
    <col min="5652" max="5888" width="9.140625" style="651"/>
    <col min="5889" max="5889" width="5.85546875" style="651" customWidth="1"/>
    <col min="5890" max="5890" width="54.7109375" style="651" customWidth="1"/>
    <col min="5891" max="5891" width="14" style="651" customWidth="1"/>
    <col min="5892" max="5892" width="13.85546875" style="651" customWidth="1"/>
    <col min="5893" max="5893" width="15.85546875" style="651" customWidth="1"/>
    <col min="5894" max="5896" width="11.5703125" style="651" customWidth="1"/>
    <col min="5897" max="5897" width="15.140625" style="651" customWidth="1"/>
    <col min="5898" max="5898" width="11.5703125" style="651" customWidth="1"/>
    <col min="5899" max="5899" width="14.42578125" style="651" customWidth="1"/>
    <col min="5900" max="5900" width="13.85546875" style="651" customWidth="1"/>
    <col min="5901" max="5901" width="13.5703125" style="651" customWidth="1"/>
    <col min="5902" max="5902" width="15.140625" style="651" customWidth="1"/>
    <col min="5903" max="5903" width="15.42578125" style="651" customWidth="1"/>
    <col min="5904" max="5904" width="12.85546875" style="651" customWidth="1"/>
    <col min="5905" max="5905" width="13.5703125" style="651" customWidth="1"/>
    <col min="5906" max="5906" width="13.42578125" style="651" bestFit="1" customWidth="1"/>
    <col min="5907" max="5907" width="12.140625" style="651" customWidth="1"/>
    <col min="5908" max="6144" width="9.140625" style="651"/>
    <col min="6145" max="6145" width="5.85546875" style="651" customWidth="1"/>
    <col min="6146" max="6146" width="54.7109375" style="651" customWidth="1"/>
    <col min="6147" max="6147" width="14" style="651" customWidth="1"/>
    <col min="6148" max="6148" width="13.85546875" style="651" customWidth="1"/>
    <col min="6149" max="6149" width="15.85546875" style="651" customWidth="1"/>
    <col min="6150" max="6152" width="11.5703125" style="651" customWidth="1"/>
    <col min="6153" max="6153" width="15.140625" style="651" customWidth="1"/>
    <col min="6154" max="6154" width="11.5703125" style="651" customWidth="1"/>
    <col min="6155" max="6155" width="14.42578125" style="651" customWidth="1"/>
    <col min="6156" max="6156" width="13.85546875" style="651" customWidth="1"/>
    <col min="6157" max="6157" width="13.5703125" style="651" customWidth="1"/>
    <col min="6158" max="6158" width="15.140625" style="651" customWidth="1"/>
    <col min="6159" max="6159" width="15.42578125" style="651" customWidth="1"/>
    <col min="6160" max="6160" width="12.85546875" style="651" customWidth="1"/>
    <col min="6161" max="6161" width="13.5703125" style="651" customWidth="1"/>
    <col min="6162" max="6162" width="13.42578125" style="651" bestFit="1" customWidth="1"/>
    <col min="6163" max="6163" width="12.140625" style="651" customWidth="1"/>
    <col min="6164" max="6400" width="9.140625" style="651"/>
    <col min="6401" max="6401" width="5.85546875" style="651" customWidth="1"/>
    <col min="6402" max="6402" width="54.7109375" style="651" customWidth="1"/>
    <col min="6403" max="6403" width="14" style="651" customWidth="1"/>
    <col min="6404" max="6404" width="13.85546875" style="651" customWidth="1"/>
    <col min="6405" max="6405" width="15.85546875" style="651" customWidth="1"/>
    <col min="6406" max="6408" width="11.5703125" style="651" customWidth="1"/>
    <col min="6409" max="6409" width="15.140625" style="651" customWidth="1"/>
    <col min="6410" max="6410" width="11.5703125" style="651" customWidth="1"/>
    <col min="6411" max="6411" width="14.42578125" style="651" customWidth="1"/>
    <col min="6412" max="6412" width="13.85546875" style="651" customWidth="1"/>
    <col min="6413" max="6413" width="13.5703125" style="651" customWidth="1"/>
    <col min="6414" max="6414" width="15.140625" style="651" customWidth="1"/>
    <col min="6415" max="6415" width="15.42578125" style="651" customWidth="1"/>
    <col min="6416" max="6416" width="12.85546875" style="651" customWidth="1"/>
    <col min="6417" max="6417" width="13.5703125" style="651" customWidth="1"/>
    <col min="6418" max="6418" width="13.42578125" style="651" bestFit="1" customWidth="1"/>
    <col min="6419" max="6419" width="12.140625" style="651" customWidth="1"/>
    <col min="6420" max="6656" width="9.140625" style="651"/>
    <col min="6657" max="6657" width="5.85546875" style="651" customWidth="1"/>
    <col min="6658" max="6658" width="54.7109375" style="651" customWidth="1"/>
    <col min="6659" max="6659" width="14" style="651" customWidth="1"/>
    <col min="6660" max="6660" width="13.85546875" style="651" customWidth="1"/>
    <col min="6661" max="6661" width="15.85546875" style="651" customWidth="1"/>
    <col min="6662" max="6664" width="11.5703125" style="651" customWidth="1"/>
    <col min="6665" max="6665" width="15.140625" style="651" customWidth="1"/>
    <col min="6666" max="6666" width="11.5703125" style="651" customWidth="1"/>
    <col min="6667" max="6667" width="14.42578125" style="651" customWidth="1"/>
    <col min="6668" max="6668" width="13.85546875" style="651" customWidth="1"/>
    <col min="6669" max="6669" width="13.5703125" style="651" customWidth="1"/>
    <col min="6670" max="6670" width="15.140625" style="651" customWidth="1"/>
    <col min="6671" max="6671" width="15.42578125" style="651" customWidth="1"/>
    <col min="6672" max="6672" width="12.85546875" style="651" customWidth="1"/>
    <col min="6673" max="6673" width="13.5703125" style="651" customWidth="1"/>
    <col min="6674" max="6674" width="13.42578125" style="651" bestFit="1" customWidth="1"/>
    <col min="6675" max="6675" width="12.140625" style="651" customWidth="1"/>
    <col min="6676" max="6912" width="9.140625" style="651"/>
    <col min="6913" max="6913" width="5.85546875" style="651" customWidth="1"/>
    <col min="6914" max="6914" width="54.7109375" style="651" customWidth="1"/>
    <col min="6915" max="6915" width="14" style="651" customWidth="1"/>
    <col min="6916" max="6916" width="13.85546875" style="651" customWidth="1"/>
    <col min="6917" max="6917" width="15.85546875" style="651" customWidth="1"/>
    <col min="6918" max="6920" width="11.5703125" style="651" customWidth="1"/>
    <col min="6921" max="6921" width="15.140625" style="651" customWidth="1"/>
    <col min="6922" max="6922" width="11.5703125" style="651" customWidth="1"/>
    <col min="6923" max="6923" width="14.42578125" style="651" customWidth="1"/>
    <col min="6924" max="6924" width="13.85546875" style="651" customWidth="1"/>
    <col min="6925" max="6925" width="13.5703125" style="651" customWidth="1"/>
    <col min="6926" max="6926" width="15.140625" style="651" customWidth="1"/>
    <col min="6927" max="6927" width="15.42578125" style="651" customWidth="1"/>
    <col min="6928" max="6928" width="12.85546875" style="651" customWidth="1"/>
    <col min="6929" max="6929" width="13.5703125" style="651" customWidth="1"/>
    <col min="6930" max="6930" width="13.42578125" style="651" bestFit="1" customWidth="1"/>
    <col min="6931" max="6931" width="12.140625" style="651" customWidth="1"/>
    <col min="6932" max="7168" width="9.140625" style="651"/>
    <col min="7169" max="7169" width="5.85546875" style="651" customWidth="1"/>
    <col min="7170" max="7170" width="54.7109375" style="651" customWidth="1"/>
    <col min="7171" max="7171" width="14" style="651" customWidth="1"/>
    <col min="7172" max="7172" width="13.85546875" style="651" customWidth="1"/>
    <col min="7173" max="7173" width="15.85546875" style="651" customWidth="1"/>
    <col min="7174" max="7176" width="11.5703125" style="651" customWidth="1"/>
    <col min="7177" max="7177" width="15.140625" style="651" customWidth="1"/>
    <col min="7178" max="7178" width="11.5703125" style="651" customWidth="1"/>
    <col min="7179" max="7179" width="14.42578125" style="651" customWidth="1"/>
    <col min="7180" max="7180" width="13.85546875" style="651" customWidth="1"/>
    <col min="7181" max="7181" width="13.5703125" style="651" customWidth="1"/>
    <col min="7182" max="7182" width="15.140625" style="651" customWidth="1"/>
    <col min="7183" max="7183" width="15.42578125" style="651" customWidth="1"/>
    <col min="7184" max="7184" width="12.85546875" style="651" customWidth="1"/>
    <col min="7185" max="7185" width="13.5703125" style="651" customWidth="1"/>
    <col min="7186" max="7186" width="13.42578125" style="651" bestFit="1" customWidth="1"/>
    <col min="7187" max="7187" width="12.140625" style="651" customWidth="1"/>
    <col min="7188" max="7424" width="9.140625" style="651"/>
    <col min="7425" max="7425" width="5.85546875" style="651" customWidth="1"/>
    <col min="7426" max="7426" width="54.7109375" style="651" customWidth="1"/>
    <col min="7427" max="7427" width="14" style="651" customWidth="1"/>
    <col min="7428" max="7428" width="13.85546875" style="651" customWidth="1"/>
    <col min="7429" max="7429" width="15.85546875" style="651" customWidth="1"/>
    <col min="7430" max="7432" width="11.5703125" style="651" customWidth="1"/>
    <col min="7433" max="7433" width="15.140625" style="651" customWidth="1"/>
    <col min="7434" max="7434" width="11.5703125" style="651" customWidth="1"/>
    <col min="7435" max="7435" width="14.42578125" style="651" customWidth="1"/>
    <col min="7436" max="7436" width="13.85546875" style="651" customWidth="1"/>
    <col min="7437" max="7437" width="13.5703125" style="651" customWidth="1"/>
    <col min="7438" max="7438" width="15.140625" style="651" customWidth="1"/>
    <col min="7439" max="7439" width="15.42578125" style="651" customWidth="1"/>
    <col min="7440" max="7440" width="12.85546875" style="651" customWidth="1"/>
    <col min="7441" max="7441" width="13.5703125" style="651" customWidth="1"/>
    <col min="7442" max="7442" width="13.42578125" style="651" bestFit="1" customWidth="1"/>
    <col min="7443" max="7443" width="12.140625" style="651" customWidth="1"/>
    <col min="7444" max="7680" width="9.140625" style="651"/>
    <col min="7681" max="7681" width="5.85546875" style="651" customWidth="1"/>
    <col min="7682" max="7682" width="54.7109375" style="651" customWidth="1"/>
    <col min="7683" max="7683" width="14" style="651" customWidth="1"/>
    <col min="7684" max="7684" width="13.85546875" style="651" customWidth="1"/>
    <col min="7685" max="7685" width="15.85546875" style="651" customWidth="1"/>
    <col min="7686" max="7688" width="11.5703125" style="651" customWidth="1"/>
    <col min="7689" max="7689" width="15.140625" style="651" customWidth="1"/>
    <col min="7690" max="7690" width="11.5703125" style="651" customWidth="1"/>
    <col min="7691" max="7691" width="14.42578125" style="651" customWidth="1"/>
    <col min="7692" max="7692" width="13.85546875" style="651" customWidth="1"/>
    <col min="7693" max="7693" width="13.5703125" style="651" customWidth="1"/>
    <col min="7694" max="7694" width="15.140625" style="651" customWidth="1"/>
    <col min="7695" max="7695" width="15.42578125" style="651" customWidth="1"/>
    <col min="7696" max="7696" width="12.85546875" style="651" customWidth="1"/>
    <col min="7697" max="7697" width="13.5703125" style="651" customWidth="1"/>
    <col min="7698" max="7698" width="13.42578125" style="651" bestFit="1" customWidth="1"/>
    <col min="7699" max="7699" width="12.140625" style="651" customWidth="1"/>
    <col min="7700" max="7936" width="9.140625" style="651"/>
    <col min="7937" max="7937" width="5.85546875" style="651" customWidth="1"/>
    <col min="7938" max="7938" width="54.7109375" style="651" customWidth="1"/>
    <col min="7939" max="7939" width="14" style="651" customWidth="1"/>
    <col min="7940" max="7940" width="13.85546875" style="651" customWidth="1"/>
    <col min="7941" max="7941" width="15.85546875" style="651" customWidth="1"/>
    <col min="7942" max="7944" width="11.5703125" style="651" customWidth="1"/>
    <col min="7945" max="7945" width="15.140625" style="651" customWidth="1"/>
    <col min="7946" max="7946" width="11.5703125" style="651" customWidth="1"/>
    <col min="7947" max="7947" width="14.42578125" style="651" customWidth="1"/>
    <col min="7948" max="7948" width="13.85546875" style="651" customWidth="1"/>
    <col min="7949" max="7949" width="13.5703125" style="651" customWidth="1"/>
    <col min="7950" max="7950" width="15.140625" style="651" customWidth="1"/>
    <col min="7951" max="7951" width="15.42578125" style="651" customWidth="1"/>
    <col min="7952" max="7952" width="12.85546875" style="651" customWidth="1"/>
    <col min="7953" max="7953" width="13.5703125" style="651" customWidth="1"/>
    <col min="7954" max="7954" width="13.42578125" style="651" bestFit="1" customWidth="1"/>
    <col min="7955" max="7955" width="12.140625" style="651" customWidth="1"/>
    <col min="7956" max="8192" width="9.140625" style="651"/>
    <col min="8193" max="8193" width="5.85546875" style="651" customWidth="1"/>
    <col min="8194" max="8194" width="54.7109375" style="651" customWidth="1"/>
    <col min="8195" max="8195" width="14" style="651" customWidth="1"/>
    <col min="8196" max="8196" width="13.85546875" style="651" customWidth="1"/>
    <col min="8197" max="8197" width="15.85546875" style="651" customWidth="1"/>
    <col min="8198" max="8200" width="11.5703125" style="651" customWidth="1"/>
    <col min="8201" max="8201" width="15.140625" style="651" customWidth="1"/>
    <col min="8202" max="8202" width="11.5703125" style="651" customWidth="1"/>
    <col min="8203" max="8203" width="14.42578125" style="651" customWidth="1"/>
    <col min="8204" max="8204" width="13.85546875" style="651" customWidth="1"/>
    <col min="8205" max="8205" width="13.5703125" style="651" customWidth="1"/>
    <col min="8206" max="8206" width="15.140625" style="651" customWidth="1"/>
    <col min="8207" max="8207" width="15.42578125" style="651" customWidth="1"/>
    <col min="8208" max="8208" width="12.85546875" style="651" customWidth="1"/>
    <col min="8209" max="8209" width="13.5703125" style="651" customWidth="1"/>
    <col min="8210" max="8210" width="13.42578125" style="651" bestFit="1" customWidth="1"/>
    <col min="8211" max="8211" width="12.140625" style="651" customWidth="1"/>
    <col min="8212" max="8448" width="9.140625" style="651"/>
    <col min="8449" max="8449" width="5.85546875" style="651" customWidth="1"/>
    <col min="8450" max="8450" width="54.7109375" style="651" customWidth="1"/>
    <col min="8451" max="8451" width="14" style="651" customWidth="1"/>
    <col min="8452" max="8452" width="13.85546875" style="651" customWidth="1"/>
    <col min="8453" max="8453" width="15.85546875" style="651" customWidth="1"/>
    <col min="8454" max="8456" width="11.5703125" style="651" customWidth="1"/>
    <col min="8457" max="8457" width="15.140625" style="651" customWidth="1"/>
    <col min="8458" max="8458" width="11.5703125" style="651" customWidth="1"/>
    <col min="8459" max="8459" width="14.42578125" style="651" customWidth="1"/>
    <col min="8460" max="8460" width="13.85546875" style="651" customWidth="1"/>
    <col min="8461" max="8461" width="13.5703125" style="651" customWidth="1"/>
    <col min="8462" max="8462" width="15.140625" style="651" customWidth="1"/>
    <col min="8463" max="8463" width="15.42578125" style="651" customWidth="1"/>
    <col min="8464" max="8464" width="12.85546875" style="651" customWidth="1"/>
    <col min="8465" max="8465" width="13.5703125" style="651" customWidth="1"/>
    <col min="8466" max="8466" width="13.42578125" style="651" bestFit="1" customWidth="1"/>
    <col min="8467" max="8467" width="12.140625" style="651" customWidth="1"/>
    <col min="8468" max="8704" width="9.140625" style="651"/>
    <col min="8705" max="8705" width="5.85546875" style="651" customWidth="1"/>
    <col min="8706" max="8706" width="54.7109375" style="651" customWidth="1"/>
    <col min="8707" max="8707" width="14" style="651" customWidth="1"/>
    <col min="8708" max="8708" width="13.85546875" style="651" customWidth="1"/>
    <col min="8709" max="8709" width="15.85546875" style="651" customWidth="1"/>
    <col min="8710" max="8712" width="11.5703125" style="651" customWidth="1"/>
    <col min="8713" max="8713" width="15.140625" style="651" customWidth="1"/>
    <col min="8714" max="8714" width="11.5703125" style="651" customWidth="1"/>
    <col min="8715" max="8715" width="14.42578125" style="651" customWidth="1"/>
    <col min="8716" max="8716" width="13.85546875" style="651" customWidth="1"/>
    <col min="8717" max="8717" width="13.5703125" style="651" customWidth="1"/>
    <col min="8718" max="8718" width="15.140625" style="651" customWidth="1"/>
    <col min="8719" max="8719" width="15.42578125" style="651" customWidth="1"/>
    <col min="8720" max="8720" width="12.85546875" style="651" customWidth="1"/>
    <col min="8721" max="8721" width="13.5703125" style="651" customWidth="1"/>
    <col min="8722" max="8722" width="13.42578125" style="651" bestFit="1" customWidth="1"/>
    <col min="8723" max="8723" width="12.140625" style="651" customWidth="1"/>
    <col min="8724" max="8960" width="9.140625" style="651"/>
    <col min="8961" max="8961" width="5.85546875" style="651" customWidth="1"/>
    <col min="8962" max="8962" width="54.7109375" style="651" customWidth="1"/>
    <col min="8963" max="8963" width="14" style="651" customWidth="1"/>
    <col min="8964" max="8964" width="13.85546875" style="651" customWidth="1"/>
    <col min="8965" max="8965" width="15.85546875" style="651" customWidth="1"/>
    <col min="8966" max="8968" width="11.5703125" style="651" customWidth="1"/>
    <col min="8969" max="8969" width="15.140625" style="651" customWidth="1"/>
    <col min="8970" max="8970" width="11.5703125" style="651" customWidth="1"/>
    <col min="8971" max="8971" width="14.42578125" style="651" customWidth="1"/>
    <col min="8972" max="8972" width="13.85546875" style="651" customWidth="1"/>
    <col min="8973" max="8973" width="13.5703125" style="651" customWidth="1"/>
    <col min="8974" max="8974" width="15.140625" style="651" customWidth="1"/>
    <col min="8975" max="8975" width="15.42578125" style="651" customWidth="1"/>
    <col min="8976" max="8976" width="12.85546875" style="651" customWidth="1"/>
    <col min="8977" max="8977" width="13.5703125" style="651" customWidth="1"/>
    <col min="8978" max="8978" width="13.42578125" style="651" bestFit="1" customWidth="1"/>
    <col min="8979" max="8979" width="12.140625" style="651" customWidth="1"/>
    <col min="8980" max="9216" width="9.140625" style="651"/>
    <col min="9217" max="9217" width="5.85546875" style="651" customWidth="1"/>
    <col min="9218" max="9218" width="54.7109375" style="651" customWidth="1"/>
    <col min="9219" max="9219" width="14" style="651" customWidth="1"/>
    <col min="9220" max="9220" width="13.85546875" style="651" customWidth="1"/>
    <col min="9221" max="9221" width="15.85546875" style="651" customWidth="1"/>
    <col min="9222" max="9224" width="11.5703125" style="651" customWidth="1"/>
    <col min="9225" max="9225" width="15.140625" style="651" customWidth="1"/>
    <col min="9226" max="9226" width="11.5703125" style="651" customWidth="1"/>
    <col min="9227" max="9227" width="14.42578125" style="651" customWidth="1"/>
    <col min="9228" max="9228" width="13.85546875" style="651" customWidth="1"/>
    <col min="9229" max="9229" width="13.5703125" style="651" customWidth="1"/>
    <col min="9230" max="9230" width="15.140625" style="651" customWidth="1"/>
    <col min="9231" max="9231" width="15.42578125" style="651" customWidth="1"/>
    <col min="9232" max="9232" width="12.85546875" style="651" customWidth="1"/>
    <col min="9233" max="9233" width="13.5703125" style="651" customWidth="1"/>
    <col min="9234" max="9234" width="13.42578125" style="651" bestFit="1" customWidth="1"/>
    <col min="9235" max="9235" width="12.140625" style="651" customWidth="1"/>
    <col min="9236" max="9472" width="9.140625" style="651"/>
    <col min="9473" max="9473" width="5.85546875" style="651" customWidth="1"/>
    <col min="9474" max="9474" width="54.7109375" style="651" customWidth="1"/>
    <col min="9475" max="9475" width="14" style="651" customWidth="1"/>
    <col min="9476" max="9476" width="13.85546875" style="651" customWidth="1"/>
    <col min="9477" max="9477" width="15.85546875" style="651" customWidth="1"/>
    <col min="9478" max="9480" width="11.5703125" style="651" customWidth="1"/>
    <col min="9481" max="9481" width="15.140625" style="651" customWidth="1"/>
    <col min="9482" max="9482" width="11.5703125" style="651" customWidth="1"/>
    <col min="9483" max="9483" width="14.42578125" style="651" customWidth="1"/>
    <col min="9484" max="9484" width="13.85546875" style="651" customWidth="1"/>
    <col min="9485" max="9485" width="13.5703125" style="651" customWidth="1"/>
    <col min="9486" max="9486" width="15.140625" style="651" customWidth="1"/>
    <col min="9487" max="9487" width="15.42578125" style="651" customWidth="1"/>
    <col min="9488" max="9488" width="12.85546875" style="651" customWidth="1"/>
    <col min="9489" max="9489" width="13.5703125" style="651" customWidth="1"/>
    <col min="9490" max="9490" width="13.42578125" style="651" bestFit="1" customWidth="1"/>
    <col min="9491" max="9491" width="12.140625" style="651" customWidth="1"/>
    <col min="9492" max="9728" width="9.140625" style="651"/>
    <col min="9729" max="9729" width="5.85546875" style="651" customWidth="1"/>
    <col min="9730" max="9730" width="54.7109375" style="651" customWidth="1"/>
    <col min="9731" max="9731" width="14" style="651" customWidth="1"/>
    <col min="9732" max="9732" width="13.85546875" style="651" customWidth="1"/>
    <col min="9733" max="9733" width="15.85546875" style="651" customWidth="1"/>
    <col min="9734" max="9736" width="11.5703125" style="651" customWidth="1"/>
    <col min="9737" max="9737" width="15.140625" style="651" customWidth="1"/>
    <col min="9738" max="9738" width="11.5703125" style="651" customWidth="1"/>
    <col min="9739" max="9739" width="14.42578125" style="651" customWidth="1"/>
    <col min="9740" max="9740" width="13.85546875" style="651" customWidth="1"/>
    <col min="9741" max="9741" width="13.5703125" style="651" customWidth="1"/>
    <col min="9742" max="9742" width="15.140625" style="651" customWidth="1"/>
    <col min="9743" max="9743" width="15.42578125" style="651" customWidth="1"/>
    <col min="9744" max="9744" width="12.85546875" style="651" customWidth="1"/>
    <col min="9745" max="9745" width="13.5703125" style="651" customWidth="1"/>
    <col min="9746" max="9746" width="13.42578125" style="651" bestFit="1" customWidth="1"/>
    <col min="9747" max="9747" width="12.140625" style="651" customWidth="1"/>
    <col min="9748" max="9984" width="9.140625" style="651"/>
    <col min="9985" max="9985" width="5.85546875" style="651" customWidth="1"/>
    <col min="9986" max="9986" width="54.7109375" style="651" customWidth="1"/>
    <col min="9987" max="9987" width="14" style="651" customWidth="1"/>
    <col min="9988" max="9988" width="13.85546875" style="651" customWidth="1"/>
    <col min="9989" max="9989" width="15.85546875" style="651" customWidth="1"/>
    <col min="9990" max="9992" width="11.5703125" style="651" customWidth="1"/>
    <col min="9993" max="9993" width="15.140625" style="651" customWidth="1"/>
    <col min="9994" max="9994" width="11.5703125" style="651" customWidth="1"/>
    <col min="9995" max="9995" width="14.42578125" style="651" customWidth="1"/>
    <col min="9996" max="9996" width="13.85546875" style="651" customWidth="1"/>
    <col min="9997" max="9997" width="13.5703125" style="651" customWidth="1"/>
    <col min="9998" max="9998" width="15.140625" style="651" customWidth="1"/>
    <col min="9999" max="9999" width="15.42578125" style="651" customWidth="1"/>
    <col min="10000" max="10000" width="12.85546875" style="651" customWidth="1"/>
    <col min="10001" max="10001" width="13.5703125" style="651" customWidth="1"/>
    <col min="10002" max="10002" width="13.42578125" style="651" bestFit="1" customWidth="1"/>
    <col min="10003" max="10003" width="12.140625" style="651" customWidth="1"/>
    <col min="10004" max="10240" width="9.140625" style="651"/>
    <col min="10241" max="10241" width="5.85546875" style="651" customWidth="1"/>
    <col min="10242" max="10242" width="54.7109375" style="651" customWidth="1"/>
    <col min="10243" max="10243" width="14" style="651" customWidth="1"/>
    <col min="10244" max="10244" width="13.85546875" style="651" customWidth="1"/>
    <col min="10245" max="10245" width="15.85546875" style="651" customWidth="1"/>
    <col min="10246" max="10248" width="11.5703125" style="651" customWidth="1"/>
    <col min="10249" max="10249" width="15.140625" style="651" customWidth="1"/>
    <col min="10250" max="10250" width="11.5703125" style="651" customWidth="1"/>
    <col min="10251" max="10251" width="14.42578125" style="651" customWidth="1"/>
    <col min="10252" max="10252" width="13.85546875" style="651" customWidth="1"/>
    <col min="10253" max="10253" width="13.5703125" style="651" customWidth="1"/>
    <col min="10254" max="10254" width="15.140625" style="651" customWidth="1"/>
    <col min="10255" max="10255" width="15.42578125" style="651" customWidth="1"/>
    <col min="10256" max="10256" width="12.85546875" style="651" customWidth="1"/>
    <col min="10257" max="10257" width="13.5703125" style="651" customWidth="1"/>
    <col min="10258" max="10258" width="13.42578125" style="651" bestFit="1" customWidth="1"/>
    <col min="10259" max="10259" width="12.140625" style="651" customWidth="1"/>
    <col min="10260" max="10496" width="9.140625" style="651"/>
    <col min="10497" max="10497" width="5.85546875" style="651" customWidth="1"/>
    <col min="10498" max="10498" width="54.7109375" style="651" customWidth="1"/>
    <col min="10499" max="10499" width="14" style="651" customWidth="1"/>
    <col min="10500" max="10500" width="13.85546875" style="651" customWidth="1"/>
    <col min="10501" max="10501" width="15.85546875" style="651" customWidth="1"/>
    <col min="10502" max="10504" width="11.5703125" style="651" customWidth="1"/>
    <col min="10505" max="10505" width="15.140625" style="651" customWidth="1"/>
    <col min="10506" max="10506" width="11.5703125" style="651" customWidth="1"/>
    <col min="10507" max="10507" width="14.42578125" style="651" customWidth="1"/>
    <col min="10508" max="10508" width="13.85546875" style="651" customWidth="1"/>
    <col min="10509" max="10509" width="13.5703125" style="651" customWidth="1"/>
    <col min="10510" max="10510" width="15.140625" style="651" customWidth="1"/>
    <col min="10511" max="10511" width="15.42578125" style="651" customWidth="1"/>
    <col min="10512" max="10512" width="12.85546875" style="651" customWidth="1"/>
    <col min="10513" max="10513" width="13.5703125" style="651" customWidth="1"/>
    <col min="10514" max="10514" width="13.42578125" style="651" bestFit="1" customWidth="1"/>
    <col min="10515" max="10515" width="12.140625" style="651" customWidth="1"/>
    <col min="10516" max="10752" width="9.140625" style="651"/>
    <col min="10753" max="10753" width="5.85546875" style="651" customWidth="1"/>
    <col min="10754" max="10754" width="54.7109375" style="651" customWidth="1"/>
    <col min="10755" max="10755" width="14" style="651" customWidth="1"/>
    <col min="10756" max="10756" width="13.85546875" style="651" customWidth="1"/>
    <col min="10757" max="10757" width="15.85546875" style="651" customWidth="1"/>
    <col min="10758" max="10760" width="11.5703125" style="651" customWidth="1"/>
    <col min="10761" max="10761" width="15.140625" style="651" customWidth="1"/>
    <col min="10762" max="10762" width="11.5703125" style="651" customWidth="1"/>
    <col min="10763" max="10763" width="14.42578125" style="651" customWidth="1"/>
    <col min="10764" max="10764" width="13.85546875" style="651" customWidth="1"/>
    <col min="10765" max="10765" width="13.5703125" style="651" customWidth="1"/>
    <col min="10766" max="10766" width="15.140625" style="651" customWidth="1"/>
    <col min="10767" max="10767" width="15.42578125" style="651" customWidth="1"/>
    <col min="10768" max="10768" width="12.85546875" style="651" customWidth="1"/>
    <col min="10769" max="10769" width="13.5703125" style="651" customWidth="1"/>
    <col min="10770" max="10770" width="13.42578125" style="651" bestFit="1" customWidth="1"/>
    <col min="10771" max="10771" width="12.140625" style="651" customWidth="1"/>
    <col min="10772" max="11008" width="9.140625" style="651"/>
    <col min="11009" max="11009" width="5.85546875" style="651" customWidth="1"/>
    <col min="11010" max="11010" width="54.7109375" style="651" customWidth="1"/>
    <col min="11011" max="11011" width="14" style="651" customWidth="1"/>
    <col min="11012" max="11012" width="13.85546875" style="651" customWidth="1"/>
    <col min="11013" max="11013" width="15.85546875" style="651" customWidth="1"/>
    <col min="11014" max="11016" width="11.5703125" style="651" customWidth="1"/>
    <col min="11017" max="11017" width="15.140625" style="651" customWidth="1"/>
    <col min="11018" max="11018" width="11.5703125" style="651" customWidth="1"/>
    <col min="11019" max="11019" width="14.42578125" style="651" customWidth="1"/>
    <col min="11020" max="11020" width="13.85546875" style="651" customWidth="1"/>
    <col min="11021" max="11021" width="13.5703125" style="651" customWidth="1"/>
    <col min="11022" max="11022" width="15.140625" style="651" customWidth="1"/>
    <col min="11023" max="11023" width="15.42578125" style="651" customWidth="1"/>
    <col min="11024" max="11024" width="12.85546875" style="651" customWidth="1"/>
    <col min="11025" max="11025" width="13.5703125" style="651" customWidth="1"/>
    <col min="11026" max="11026" width="13.42578125" style="651" bestFit="1" customWidth="1"/>
    <col min="11027" max="11027" width="12.140625" style="651" customWidth="1"/>
    <col min="11028" max="11264" width="9.140625" style="651"/>
    <col min="11265" max="11265" width="5.85546875" style="651" customWidth="1"/>
    <col min="11266" max="11266" width="54.7109375" style="651" customWidth="1"/>
    <col min="11267" max="11267" width="14" style="651" customWidth="1"/>
    <col min="11268" max="11268" width="13.85546875" style="651" customWidth="1"/>
    <col min="11269" max="11269" width="15.85546875" style="651" customWidth="1"/>
    <col min="11270" max="11272" width="11.5703125" style="651" customWidth="1"/>
    <col min="11273" max="11273" width="15.140625" style="651" customWidth="1"/>
    <col min="11274" max="11274" width="11.5703125" style="651" customWidth="1"/>
    <col min="11275" max="11275" width="14.42578125" style="651" customWidth="1"/>
    <col min="11276" max="11276" width="13.85546875" style="651" customWidth="1"/>
    <col min="11277" max="11277" width="13.5703125" style="651" customWidth="1"/>
    <col min="11278" max="11278" width="15.140625" style="651" customWidth="1"/>
    <col min="11279" max="11279" width="15.42578125" style="651" customWidth="1"/>
    <col min="11280" max="11280" width="12.85546875" style="651" customWidth="1"/>
    <col min="11281" max="11281" width="13.5703125" style="651" customWidth="1"/>
    <col min="11282" max="11282" width="13.42578125" style="651" bestFit="1" customWidth="1"/>
    <col min="11283" max="11283" width="12.140625" style="651" customWidth="1"/>
    <col min="11284" max="11520" width="9.140625" style="651"/>
    <col min="11521" max="11521" width="5.85546875" style="651" customWidth="1"/>
    <col min="11522" max="11522" width="54.7109375" style="651" customWidth="1"/>
    <col min="11523" max="11523" width="14" style="651" customWidth="1"/>
    <col min="11524" max="11524" width="13.85546875" style="651" customWidth="1"/>
    <col min="11525" max="11525" width="15.85546875" style="651" customWidth="1"/>
    <col min="11526" max="11528" width="11.5703125" style="651" customWidth="1"/>
    <col min="11529" max="11529" width="15.140625" style="651" customWidth="1"/>
    <col min="11530" max="11530" width="11.5703125" style="651" customWidth="1"/>
    <col min="11531" max="11531" width="14.42578125" style="651" customWidth="1"/>
    <col min="11532" max="11532" width="13.85546875" style="651" customWidth="1"/>
    <col min="11533" max="11533" width="13.5703125" style="651" customWidth="1"/>
    <col min="11534" max="11534" width="15.140625" style="651" customWidth="1"/>
    <col min="11535" max="11535" width="15.42578125" style="651" customWidth="1"/>
    <col min="11536" max="11536" width="12.85546875" style="651" customWidth="1"/>
    <col min="11537" max="11537" width="13.5703125" style="651" customWidth="1"/>
    <col min="11538" max="11538" width="13.42578125" style="651" bestFit="1" customWidth="1"/>
    <col min="11539" max="11539" width="12.140625" style="651" customWidth="1"/>
    <col min="11540" max="11776" width="9.140625" style="651"/>
    <col min="11777" max="11777" width="5.85546875" style="651" customWidth="1"/>
    <col min="11778" max="11778" width="54.7109375" style="651" customWidth="1"/>
    <col min="11779" max="11779" width="14" style="651" customWidth="1"/>
    <col min="11780" max="11780" width="13.85546875" style="651" customWidth="1"/>
    <col min="11781" max="11781" width="15.85546875" style="651" customWidth="1"/>
    <col min="11782" max="11784" width="11.5703125" style="651" customWidth="1"/>
    <col min="11785" max="11785" width="15.140625" style="651" customWidth="1"/>
    <col min="11786" max="11786" width="11.5703125" style="651" customWidth="1"/>
    <col min="11787" max="11787" width="14.42578125" style="651" customWidth="1"/>
    <col min="11788" max="11788" width="13.85546875" style="651" customWidth="1"/>
    <col min="11789" max="11789" width="13.5703125" style="651" customWidth="1"/>
    <col min="11790" max="11790" width="15.140625" style="651" customWidth="1"/>
    <col min="11791" max="11791" width="15.42578125" style="651" customWidth="1"/>
    <col min="11792" max="11792" width="12.85546875" style="651" customWidth="1"/>
    <col min="11793" max="11793" width="13.5703125" style="651" customWidth="1"/>
    <col min="11794" max="11794" width="13.42578125" style="651" bestFit="1" customWidth="1"/>
    <col min="11795" max="11795" width="12.140625" style="651" customWidth="1"/>
    <col min="11796" max="12032" width="9.140625" style="651"/>
    <col min="12033" max="12033" width="5.85546875" style="651" customWidth="1"/>
    <col min="12034" max="12034" width="54.7109375" style="651" customWidth="1"/>
    <col min="12035" max="12035" width="14" style="651" customWidth="1"/>
    <col min="12036" max="12036" width="13.85546875" style="651" customWidth="1"/>
    <col min="12037" max="12037" width="15.85546875" style="651" customWidth="1"/>
    <col min="12038" max="12040" width="11.5703125" style="651" customWidth="1"/>
    <col min="12041" max="12041" width="15.140625" style="651" customWidth="1"/>
    <col min="12042" max="12042" width="11.5703125" style="651" customWidth="1"/>
    <col min="12043" max="12043" width="14.42578125" style="651" customWidth="1"/>
    <col min="12044" max="12044" width="13.85546875" style="651" customWidth="1"/>
    <col min="12045" max="12045" width="13.5703125" style="651" customWidth="1"/>
    <col min="12046" max="12046" width="15.140625" style="651" customWidth="1"/>
    <col min="12047" max="12047" width="15.42578125" style="651" customWidth="1"/>
    <col min="12048" max="12048" width="12.85546875" style="651" customWidth="1"/>
    <col min="12049" max="12049" width="13.5703125" style="651" customWidth="1"/>
    <col min="12050" max="12050" width="13.42578125" style="651" bestFit="1" customWidth="1"/>
    <col min="12051" max="12051" width="12.140625" style="651" customWidth="1"/>
    <col min="12052" max="12288" width="9.140625" style="651"/>
    <col min="12289" max="12289" width="5.85546875" style="651" customWidth="1"/>
    <col min="12290" max="12290" width="54.7109375" style="651" customWidth="1"/>
    <col min="12291" max="12291" width="14" style="651" customWidth="1"/>
    <col min="12292" max="12292" width="13.85546875" style="651" customWidth="1"/>
    <col min="12293" max="12293" width="15.85546875" style="651" customWidth="1"/>
    <col min="12294" max="12296" width="11.5703125" style="651" customWidth="1"/>
    <col min="12297" max="12297" width="15.140625" style="651" customWidth="1"/>
    <col min="12298" max="12298" width="11.5703125" style="651" customWidth="1"/>
    <col min="12299" max="12299" width="14.42578125" style="651" customWidth="1"/>
    <col min="12300" max="12300" width="13.85546875" style="651" customWidth="1"/>
    <col min="12301" max="12301" width="13.5703125" style="651" customWidth="1"/>
    <col min="12302" max="12302" width="15.140625" style="651" customWidth="1"/>
    <col min="12303" max="12303" width="15.42578125" style="651" customWidth="1"/>
    <col min="12304" max="12304" width="12.85546875" style="651" customWidth="1"/>
    <col min="12305" max="12305" width="13.5703125" style="651" customWidth="1"/>
    <col min="12306" max="12306" width="13.42578125" style="651" bestFit="1" customWidth="1"/>
    <col min="12307" max="12307" width="12.140625" style="651" customWidth="1"/>
    <col min="12308" max="12544" width="9.140625" style="651"/>
    <col min="12545" max="12545" width="5.85546875" style="651" customWidth="1"/>
    <col min="12546" max="12546" width="54.7109375" style="651" customWidth="1"/>
    <col min="12547" max="12547" width="14" style="651" customWidth="1"/>
    <col min="12548" max="12548" width="13.85546875" style="651" customWidth="1"/>
    <col min="12549" max="12549" width="15.85546875" style="651" customWidth="1"/>
    <col min="12550" max="12552" width="11.5703125" style="651" customWidth="1"/>
    <col min="12553" max="12553" width="15.140625" style="651" customWidth="1"/>
    <col min="12554" max="12554" width="11.5703125" style="651" customWidth="1"/>
    <col min="12555" max="12555" width="14.42578125" style="651" customWidth="1"/>
    <col min="12556" max="12556" width="13.85546875" style="651" customWidth="1"/>
    <col min="12557" max="12557" width="13.5703125" style="651" customWidth="1"/>
    <col min="12558" max="12558" width="15.140625" style="651" customWidth="1"/>
    <col min="12559" max="12559" width="15.42578125" style="651" customWidth="1"/>
    <col min="12560" max="12560" width="12.85546875" style="651" customWidth="1"/>
    <col min="12561" max="12561" width="13.5703125" style="651" customWidth="1"/>
    <col min="12562" max="12562" width="13.42578125" style="651" bestFit="1" customWidth="1"/>
    <col min="12563" max="12563" width="12.140625" style="651" customWidth="1"/>
    <col min="12564" max="12800" width="9.140625" style="651"/>
    <col min="12801" max="12801" width="5.85546875" style="651" customWidth="1"/>
    <col min="12802" max="12802" width="54.7109375" style="651" customWidth="1"/>
    <col min="12803" max="12803" width="14" style="651" customWidth="1"/>
    <col min="12804" max="12804" width="13.85546875" style="651" customWidth="1"/>
    <col min="12805" max="12805" width="15.85546875" style="651" customWidth="1"/>
    <col min="12806" max="12808" width="11.5703125" style="651" customWidth="1"/>
    <col min="12809" max="12809" width="15.140625" style="651" customWidth="1"/>
    <col min="12810" max="12810" width="11.5703125" style="651" customWidth="1"/>
    <col min="12811" max="12811" width="14.42578125" style="651" customWidth="1"/>
    <col min="12812" max="12812" width="13.85546875" style="651" customWidth="1"/>
    <col min="12813" max="12813" width="13.5703125" style="651" customWidth="1"/>
    <col min="12814" max="12814" width="15.140625" style="651" customWidth="1"/>
    <col min="12815" max="12815" width="15.42578125" style="651" customWidth="1"/>
    <col min="12816" max="12816" width="12.85546875" style="651" customWidth="1"/>
    <col min="12817" max="12817" width="13.5703125" style="651" customWidth="1"/>
    <col min="12818" max="12818" width="13.42578125" style="651" bestFit="1" customWidth="1"/>
    <col min="12819" max="12819" width="12.140625" style="651" customWidth="1"/>
    <col min="12820" max="13056" width="9.140625" style="651"/>
    <col min="13057" max="13057" width="5.85546875" style="651" customWidth="1"/>
    <col min="13058" max="13058" width="54.7109375" style="651" customWidth="1"/>
    <col min="13059" max="13059" width="14" style="651" customWidth="1"/>
    <col min="13060" max="13060" width="13.85546875" style="651" customWidth="1"/>
    <col min="13061" max="13061" width="15.85546875" style="651" customWidth="1"/>
    <col min="13062" max="13064" width="11.5703125" style="651" customWidth="1"/>
    <col min="13065" max="13065" width="15.140625" style="651" customWidth="1"/>
    <col min="13066" max="13066" width="11.5703125" style="651" customWidth="1"/>
    <col min="13067" max="13067" width="14.42578125" style="651" customWidth="1"/>
    <col min="13068" max="13068" width="13.85546875" style="651" customWidth="1"/>
    <col min="13069" max="13069" width="13.5703125" style="651" customWidth="1"/>
    <col min="13070" max="13070" width="15.140625" style="651" customWidth="1"/>
    <col min="13071" max="13071" width="15.42578125" style="651" customWidth="1"/>
    <col min="13072" max="13072" width="12.85546875" style="651" customWidth="1"/>
    <col min="13073" max="13073" width="13.5703125" style="651" customWidth="1"/>
    <col min="13074" max="13074" width="13.42578125" style="651" bestFit="1" customWidth="1"/>
    <col min="13075" max="13075" width="12.140625" style="651" customWidth="1"/>
    <col min="13076" max="13312" width="9.140625" style="651"/>
    <col min="13313" max="13313" width="5.85546875" style="651" customWidth="1"/>
    <col min="13314" max="13314" width="54.7109375" style="651" customWidth="1"/>
    <col min="13315" max="13315" width="14" style="651" customWidth="1"/>
    <col min="13316" max="13316" width="13.85546875" style="651" customWidth="1"/>
    <col min="13317" max="13317" width="15.85546875" style="651" customWidth="1"/>
    <col min="13318" max="13320" width="11.5703125" style="651" customWidth="1"/>
    <col min="13321" max="13321" width="15.140625" style="651" customWidth="1"/>
    <col min="13322" max="13322" width="11.5703125" style="651" customWidth="1"/>
    <col min="13323" max="13323" width="14.42578125" style="651" customWidth="1"/>
    <col min="13324" max="13324" width="13.85546875" style="651" customWidth="1"/>
    <col min="13325" max="13325" width="13.5703125" style="651" customWidth="1"/>
    <col min="13326" max="13326" width="15.140625" style="651" customWidth="1"/>
    <col min="13327" max="13327" width="15.42578125" style="651" customWidth="1"/>
    <col min="13328" max="13328" width="12.85546875" style="651" customWidth="1"/>
    <col min="13329" max="13329" width="13.5703125" style="651" customWidth="1"/>
    <col min="13330" max="13330" width="13.42578125" style="651" bestFit="1" customWidth="1"/>
    <col min="13331" max="13331" width="12.140625" style="651" customWidth="1"/>
    <col min="13332" max="13568" width="9.140625" style="651"/>
    <col min="13569" max="13569" width="5.85546875" style="651" customWidth="1"/>
    <col min="13570" max="13570" width="54.7109375" style="651" customWidth="1"/>
    <col min="13571" max="13571" width="14" style="651" customWidth="1"/>
    <col min="13572" max="13572" width="13.85546875" style="651" customWidth="1"/>
    <col min="13573" max="13573" width="15.85546875" style="651" customWidth="1"/>
    <col min="13574" max="13576" width="11.5703125" style="651" customWidth="1"/>
    <col min="13577" max="13577" width="15.140625" style="651" customWidth="1"/>
    <col min="13578" max="13578" width="11.5703125" style="651" customWidth="1"/>
    <col min="13579" max="13579" width="14.42578125" style="651" customWidth="1"/>
    <col min="13580" max="13580" width="13.85546875" style="651" customWidth="1"/>
    <col min="13581" max="13581" width="13.5703125" style="651" customWidth="1"/>
    <col min="13582" max="13582" width="15.140625" style="651" customWidth="1"/>
    <col min="13583" max="13583" width="15.42578125" style="651" customWidth="1"/>
    <col min="13584" max="13584" width="12.85546875" style="651" customWidth="1"/>
    <col min="13585" max="13585" width="13.5703125" style="651" customWidth="1"/>
    <col min="13586" max="13586" width="13.42578125" style="651" bestFit="1" customWidth="1"/>
    <col min="13587" max="13587" width="12.140625" style="651" customWidth="1"/>
    <col min="13588" max="13824" width="9.140625" style="651"/>
    <col min="13825" max="13825" width="5.85546875" style="651" customWidth="1"/>
    <col min="13826" max="13826" width="54.7109375" style="651" customWidth="1"/>
    <col min="13827" max="13827" width="14" style="651" customWidth="1"/>
    <col min="13828" max="13828" width="13.85546875" style="651" customWidth="1"/>
    <col min="13829" max="13829" width="15.85546875" style="651" customWidth="1"/>
    <col min="13830" max="13832" width="11.5703125" style="651" customWidth="1"/>
    <col min="13833" max="13833" width="15.140625" style="651" customWidth="1"/>
    <col min="13834" max="13834" width="11.5703125" style="651" customWidth="1"/>
    <col min="13835" max="13835" width="14.42578125" style="651" customWidth="1"/>
    <col min="13836" max="13836" width="13.85546875" style="651" customWidth="1"/>
    <col min="13837" max="13837" width="13.5703125" style="651" customWidth="1"/>
    <col min="13838" max="13838" width="15.140625" style="651" customWidth="1"/>
    <col min="13839" max="13839" width="15.42578125" style="651" customWidth="1"/>
    <col min="13840" max="13840" width="12.85546875" style="651" customWidth="1"/>
    <col min="13841" max="13841" width="13.5703125" style="651" customWidth="1"/>
    <col min="13842" max="13842" width="13.42578125" style="651" bestFit="1" customWidth="1"/>
    <col min="13843" max="13843" width="12.140625" style="651" customWidth="1"/>
    <col min="13844" max="14080" width="9.140625" style="651"/>
    <col min="14081" max="14081" width="5.85546875" style="651" customWidth="1"/>
    <col min="14082" max="14082" width="54.7109375" style="651" customWidth="1"/>
    <col min="14083" max="14083" width="14" style="651" customWidth="1"/>
    <col min="14084" max="14084" width="13.85546875" style="651" customWidth="1"/>
    <col min="14085" max="14085" width="15.85546875" style="651" customWidth="1"/>
    <col min="14086" max="14088" width="11.5703125" style="651" customWidth="1"/>
    <col min="14089" max="14089" width="15.140625" style="651" customWidth="1"/>
    <col min="14090" max="14090" width="11.5703125" style="651" customWidth="1"/>
    <col min="14091" max="14091" width="14.42578125" style="651" customWidth="1"/>
    <col min="14092" max="14092" width="13.85546875" style="651" customWidth="1"/>
    <col min="14093" max="14093" width="13.5703125" style="651" customWidth="1"/>
    <col min="14094" max="14094" width="15.140625" style="651" customWidth="1"/>
    <col min="14095" max="14095" width="15.42578125" style="651" customWidth="1"/>
    <col min="14096" max="14096" width="12.85546875" style="651" customWidth="1"/>
    <col min="14097" max="14097" width="13.5703125" style="651" customWidth="1"/>
    <col min="14098" max="14098" width="13.42578125" style="651" bestFit="1" customWidth="1"/>
    <col min="14099" max="14099" width="12.140625" style="651" customWidth="1"/>
    <col min="14100" max="14336" width="9.140625" style="651"/>
    <col min="14337" max="14337" width="5.85546875" style="651" customWidth="1"/>
    <col min="14338" max="14338" width="54.7109375" style="651" customWidth="1"/>
    <col min="14339" max="14339" width="14" style="651" customWidth="1"/>
    <col min="14340" max="14340" width="13.85546875" style="651" customWidth="1"/>
    <col min="14341" max="14341" width="15.85546875" style="651" customWidth="1"/>
    <col min="14342" max="14344" width="11.5703125" style="651" customWidth="1"/>
    <col min="14345" max="14345" width="15.140625" style="651" customWidth="1"/>
    <col min="14346" max="14346" width="11.5703125" style="651" customWidth="1"/>
    <col min="14347" max="14347" width="14.42578125" style="651" customWidth="1"/>
    <col min="14348" max="14348" width="13.85546875" style="651" customWidth="1"/>
    <col min="14349" max="14349" width="13.5703125" style="651" customWidth="1"/>
    <col min="14350" max="14350" width="15.140625" style="651" customWidth="1"/>
    <col min="14351" max="14351" width="15.42578125" style="651" customWidth="1"/>
    <col min="14352" max="14352" width="12.85546875" style="651" customWidth="1"/>
    <col min="14353" max="14353" width="13.5703125" style="651" customWidth="1"/>
    <col min="14354" max="14354" width="13.42578125" style="651" bestFit="1" customWidth="1"/>
    <col min="14355" max="14355" width="12.140625" style="651" customWidth="1"/>
    <col min="14356" max="14592" width="9.140625" style="651"/>
    <col min="14593" max="14593" width="5.85546875" style="651" customWidth="1"/>
    <col min="14594" max="14594" width="54.7109375" style="651" customWidth="1"/>
    <col min="14595" max="14595" width="14" style="651" customWidth="1"/>
    <col min="14596" max="14596" width="13.85546875" style="651" customWidth="1"/>
    <col min="14597" max="14597" width="15.85546875" style="651" customWidth="1"/>
    <col min="14598" max="14600" width="11.5703125" style="651" customWidth="1"/>
    <col min="14601" max="14601" width="15.140625" style="651" customWidth="1"/>
    <col min="14602" max="14602" width="11.5703125" style="651" customWidth="1"/>
    <col min="14603" max="14603" width="14.42578125" style="651" customWidth="1"/>
    <col min="14604" max="14604" width="13.85546875" style="651" customWidth="1"/>
    <col min="14605" max="14605" width="13.5703125" style="651" customWidth="1"/>
    <col min="14606" max="14606" width="15.140625" style="651" customWidth="1"/>
    <col min="14607" max="14607" width="15.42578125" style="651" customWidth="1"/>
    <col min="14608" max="14608" width="12.85546875" style="651" customWidth="1"/>
    <col min="14609" max="14609" width="13.5703125" style="651" customWidth="1"/>
    <col min="14610" max="14610" width="13.42578125" style="651" bestFit="1" customWidth="1"/>
    <col min="14611" max="14611" width="12.140625" style="651" customWidth="1"/>
    <col min="14612" max="14848" width="9.140625" style="651"/>
    <col min="14849" max="14849" width="5.85546875" style="651" customWidth="1"/>
    <col min="14850" max="14850" width="54.7109375" style="651" customWidth="1"/>
    <col min="14851" max="14851" width="14" style="651" customWidth="1"/>
    <col min="14852" max="14852" width="13.85546875" style="651" customWidth="1"/>
    <col min="14853" max="14853" width="15.85546875" style="651" customWidth="1"/>
    <col min="14854" max="14856" width="11.5703125" style="651" customWidth="1"/>
    <col min="14857" max="14857" width="15.140625" style="651" customWidth="1"/>
    <col min="14858" max="14858" width="11.5703125" style="651" customWidth="1"/>
    <col min="14859" max="14859" width="14.42578125" style="651" customWidth="1"/>
    <col min="14860" max="14860" width="13.85546875" style="651" customWidth="1"/>
    <col min="14861" max="14861" width="13.5703125" style="651" customWidth="1"/>
    <col min="14862" max="14862" width="15.140625" style="651" customWidth="1"/>
    <col min="14863" max="14863" width="15.42578125" style="651" customWidth="1"/>
    <col min="14864" max="14864" width="12.85546875" style="651" customWidth="1"/>
    <col min="14865" max="14865" width="13.5703125" style="651" customWidth="1"/>
    <col min="14866" max="14866" width="13.42578125" style="651" bestFit="1" customWidth="1"/>
    <col min="14867" max="14867" width="12.140625" style="651" customWidth="1"/>
    <col min="14868" max="15104" width="9.140625" style="651"/>
    <col min="15105" max="15105" width="5.85546875" style="651" customWidth="1"/>
    <col min="15106" max="15106" width="54.7109375" style="651" customWidth="1"/>
    <col min="15107" max="15107" width="14" style="651" customWidth="1"/>
    <col min="15108" max="15108" width="13.85546875" style="651" customWidth="1"/>
    <col min="15109" max="15109" width="15.85546875" style="651" customWidth="1"/>
    <col min="15110" max="15112" width="11.5703125" style="651" customWidth="1"/>
    <col min="15113" max="15113" width="15.140625" style="651" customWidth="1"/>
    <col min="15114" max="15114" width="11.5703125" style="651" customWidth="1"/>
    <col min="15115" max="15115" width="14.42578125" style="651" customWidth="1"/>
    <col min="15116" max="15116" width="13.85546875" style="651" customWidth="1"/>
    <col min="15117" max="15117" width="13.5703125" style="651" customWidth="1"/>
    <col min="15118" max="15118" width="15.140625" style="651" customWidth="1"/>
    <col min="15119" max="15119" width="15.42578125" style="651" customWidth="1"/>
    <col min="15120" max="15120" width="12.85546875" style="651" customWidth="1"/>
    <col min="15121" max="15121" width="13.5703125" style="651" customWidth="1"/>
    <col min="15122" max="15122" width="13.42578125" style="651" bestFit="1" customWidth="1"/>
    <col min="15123" max="15123" width="12.140625" style="651" customWidth="1"/>
    <col min="15124" max="15360" width="9.140625" style="651"/>
    <col min="15361" max="15361" width="5.85546875" style="651" customWidth="1"/>
    <col min="15362" max="15362" width="54.7109375" style="651" customWidth="1"/>
    <col min="15363" max="15363" width="14" style="651" customWidth="1"/>
    <col min="15364" max="15364" width="13.85546875" style="651" customWidth="1"/>
    <col min="15365" max="15365" width="15.85546875" style="651" customWidth="1"/>
    <col min="15366" max="15368" width="11.5703125" style="651" customWidth="1"/>
    <col min="15369" max="15369" width="15.140625" style="651" customWidth="1"/>
    <col min="15370" max="15370" width="11.5703125" style="651" customWidth="1"/>
    <col min="15371" max="15371" width="14.42578125" style="651" customWidth="1"/>
    <col min="15372" max="15372" width="13.85546875" style="651" customWidth="1"/>
    <col min="15373" max="15373" width="13.5703125" style="651" customWidth="1"/>
    <col min="15374" max="15374" width="15.140625" style="651" customWidth="1"/>
    <col min="15375" max="15375" width="15.42578125" style="651" customWidth="1"/>
    <col min="15376" max="15376" width="12.85546875" style="651" customWidth="1"/>
    <col min="15377" max="15377" width="13.5703125" style="651" customWidth="1"/>
    <col min="15378" max="15378" width="13.42578125" style="651" bestFit="1" customWidth="1"/>
    <col min="15379" max="15379" width="12.140625" style="651" customWidth="1"/>
    <col min="15380" max="15616" width="9.140625" style="651"/>
    <col min="15617" max="15617" width="5.85546875" style="651" customWidth="1"/>
    <col min="15618" max="15618" width="54.7109375" style="651" customWidth="1"/>
    <col min="15619" max="15619" width="14" style="651" customWidth="1"/>
    <col min="15620" max="15620" width="13.85546875" style="651" customWidth="1"/>
    <col min="15621" max="15621" width="15.85546875" style="651" customWidth="1"/>
    <col min="15622" max="15624" width="11.5703125" style="651" customWidth="1"/>
    <col min="15625" max="15625" width="15.140625" style="651" customWidth="1"/>
    <col min="15626" max="15626" width="11.5703125" style="651" customWidth="1"/>
    <col min="15627" max="15627" width="14.42578125" style="651" customWidth="1"/>
    <col min="15628" max="15628" width="13.85546875" style="651" customWidth="1"/>
    <col min="15629" max="15629" width="13.5703125" style="651" customWidth="1"/>
    <col min="15630" max="15630" width="15.140625" style="651" customWidth="1"/>
    <col min="15631" max="15631" width="15.42578125" style="651" customWidth="1"/>
    <col min="15632" max="15632" width="12.85546875" style="651" customWidth="1"/>
    <col min="15633" max="15633" width="13.5703125" style="651" customWidth="1"/>
    <col min="15634" max="15634" width="13.42578125" style="651" bestFit="1" customWidth="1"/>
    <col min="15635" max="15635" width="12.140625" style="651" customWidth="1"/>
    <col min="15636" max="15872" width="9.140625" style="651"/>
    <col min="15873" max="15873" width="5.85546875" style="651" customWidth="1"/>
    <col min="15874" max="15874" width="54.7109375" style="651" customWidth="1"/>
    <col min="15875" max="15875" width="14" style="651" customWidth="1"/>
    <col min="15876" max="15876" width="13.85546875" style="651" customWidth="1"/>
    <col min="15877" max="15877" width="15.85546875" style="651" customWidth="1"/>
    <col min="15878" max="15880" width="11.5703125" style="651" customWidth="1"/>
    <col min="15881" max="15881" width="15.140625" style="651" customWidth="1"/>
    <col min="15882" max="15882" width="11.5703125" style="651" customWidth="1"/>
    <col min="15883" max="15883" width="14.42578125" style="651" customWidth="1"/>
    <col min="15884" max="15884" width="13.85546875" style="651" customWidth="1"/>
    <col min="15885" max="15885" width="13.5703125" style="651" customWidth="1"/>
    <col min="15886" max="15886" width="15.140625" style="651" customWidth="1"/>
    <col min="15887" max="15887" width="15.42578125" style="651" customWidth="1"/>
    <col min="15888" max="15888" width="12.85546875" style="651" customWidth="1"/>
    <col min="15889" max="15889" width="13.5703125" style="651" customWidth="1"/>
    <col min="15890" max="15890" width="13.42578125" style="651" bestFit="1" customWidth="1"/>
    <col min="15891" max="15891" width="12.140625" style="651" customWidth="1"/>
    <col min="15892" max="16128" width="9.140625" style="651"/>
    <col min="16129" max="16129" width="5.85546875" style="651" customWidth="1"/>
    <col min="16130" max="16130" width="54.7109375" style="651" customWidth="1"/>
    <col min="16131" max="16131" width="14" style="651" customWidth="1"/>
    <col min="16132" max="16132" width="13.85546875" style="651" customWidth="1"/>
    <col min="16133" max="16133" width="15.85546875" style="651" customWidth="1"/>
    <col min="16134" max="16136" width="11.5703125" style="651" customWidth="1"/>
    <col min="16137" max="16137" width="15.140625" style="651" customWidth="1"/>
    <col min="16138" max="16138" width="11.5703125" style="651" customWidth="1"/>
    <col min="16139" max="16139" width="14.42578125" style="651" customWidth="1"/>
    <col min="16140" max="16140" width="13.85546875" style="651" customWidth="1"/>
    <col min="16141" max="16141" width="13.5703125" style="651" customWidth="1"/>
    <col min="16142" max="16142" width="15.140625" style="651" customWidth="1"/>
    <col min="16143" max="16143" width="15.42578125" style="651" customWidth="1"/>
    <col min="16144" max="16144" width="12.85546875" style="651" customWidth="1"/>
    <col min="16145" max="16145" width="13.5703125" style="651" customWidth="1"/>
    <col min="16146" max="16146" width="13.42578125" style="651" bestFit="1" customWidth="1"/>
    <col min="16147" max="16147" width="12.140625" style="651" customWidth="1"/>
    <col min="16148" max="16384" width="9.140625" style="651"/>
  </cols>
  <sheetData>
    <row r="1" spans="1:19" ht="21" customHeight="1">
      <c r="A1" s="646"/>
      <c r="B1" s="647"/>
      <c r="C1" s="648"/>
      <c r="D1" s="648"/>
      <c r="E1" s="648"/>
      <c r="F1" s="648"/>
      <c r="G1" s="649"/>
      <c r="H1" s="649"/>
      <c r="I1" s="648"/>
      <c r="J1" s="648"/>
      <c r="K1" s="648"/>
      <c r="L1" s="650"/>
      <c r="M1" s="650"/>
      <c r="N1" s="650"/>
      <c r="O1" s="650"/>
      <c r="P1" s="650"/>
      <c r="Q1" s="13" t="s">
        <v>86</v>
      </c>
    </row>
    <row r="2" spans="1:19" ht="18.75">
      <c r="A2" s="1103" t="s">
        <v>87</v>
      </c>
      <c r="B2" s="1103"/>
      <c r="C2" s="1103"/>
      <c r="D2" s="1103"/>
      <c r="E2" s="1103"/>
      <c r="F2" s="1103"/>
      <c r="G2" s="1103"/>
      <c r="H2" s="1103"/>
      <c r="I2" s="1103"/>
      <c r="J2" s="1103"/>
      <c r="K2" s="1103"/>
      <c r="L2" s="1103"/>
      <c r="M2" s="1103"/>
      <c r="N2" s="1103"/>
      <c r="O2" s="1103"/>
      <c r="P2" s="1103"/>
      <c r="Q2" s="1103"/>
    </row>
    <row r="3" spans="1:19" ht="18" customHeight="1">
      <c r="A3" s="1104" t="s">
        <v>525</v>
      </c>
      <c r="B3" s="1104"/>
      <c r="C3" s="1104"/>
      <c r="D3" s="1104"/>
      <c r="E3" s="1104"/>
      <c r="F3" s="1104"/>
      <c r="G3" s="1104"/>
      <c r="H3" s="1104"/>
      <c r="I3" s="1104"/>
      <c r="J3" s="1104"/>
      <c r="K3" s="1104"/>
      <c r="L3" s="1104"/>
      <c r="M3" s="1104"/>
      <c r="N3" s="1104"/>
      <c r="O3" s="1104"/>
      <c r="P3" s="1104"/>
      <c r="Q3" s="1104"/>
    </row>
    <row r="4" spans="1:19" ht="19.5" customHeight="1">
      <c r="A4" s="652"/>
      <c r="B4" s="653"/>
      <c r="C4" s="654"/>
      <c r="D4" s="654"/>
      <c r="E4" s="654"/>
      <c r="F4" s="654"/>
      <c r="G4" s="655"/>
      <c r="H4" s="655"/>
      <c r="I4" s="655"/>
      <c r="J4" s="655"/>
      <c r="K4" s="655"/>
      <c r="L4" s="655"/>
      <c r="M4" s="655"/>
      <c r="N4" s="655"/>
      <c r="O4" s="655"/>
      <c r="P4" s="655"/>
      <c r="Q4" s="656" t="s">
        <v>2</v>
      </c>
    </row>
    <row r="5" spans="1:19" s="657" customFormat="1" ht="39" customHeight="1">
      <c r="A5" s="1095" t="s">
        <v>3</v>
      </c>
      <c r="B5" s="1095" t="s">
        <v>88</v>
      </c>
      <c r="C5" s="1105" t="s">
        <v>89</v>
      </c>
      <c r="D5" s="1095" t="s">
        <v>90</v>
      </c>
      <c r="E5" s="1095" t="s">
        <v>91</v>
      </c>
      <c r="F5" s="1095" t="s">
        <v>1114</v>
      </c>
      <c r="G5" s="1095" t="s">
        <v>93</v>
      </c>
      <c r="H5" s="1095" t="s">
        <v>94</v>
      </c>
      <c r="I5" s="1095" t="s">
        <v>95</v>
      </c>
      <c r="J5" s="1095" t="s">
        <v>74</v>
      </c>
      <c r="K5" s="1098" t="s">
        <v>96</v>
      </c>
      <c r="L5" s="1099"/>
      <c r="M5" s="1100"/>
      <c r="N5" s="1095" t="s">
        <v>97</v>
      </c>
      <c r="O5" s="1101" t="s">
        <v>40</v>
      </c>
      <c r="P5" s="1102"/>
      <c r="Q5" s="1095" t="s">
        <v>98</v>
      </c>
    </row>
    <row r="6" spans="1:19" s="657" customFormat="1" ht="65.25" customHeight="1">
      <c r="A6" s="1096"/>
      <c r="B6" s="1096"/>
      <c r="C6" s="1106"/>
      <c r="D6" s="1096"/>
      <c r="E6" s="1096"/>
      <c r="F6" s="1096"/>
      <c r="G6" s="1096"/>
      <c r="H6" s="1096"/>
      <c r="I6" s="1096"/>
      <c r="J6" s="1096"/>
      <c r="K6" s="1105" t="s">
        <v>89</v>
      </c>
      <c r="L6" s="1095" t="s">
        <v>99</v>
      </c>
      <c r="M6" s="1095" t="s">
        <v>63</v>
      </c>
      <c r="N6" s="1096"/>
      <c r="O6" s="1095" t="s">
        <v>100</v>
      </c>
      <c r="P6" s="1095" t="s">
        <v>101</v>
      </c>
      <c r="Q6" s="1096"/>
    </row>
    <row r="7" spans="1:19" s="657" customFormat="1" ht="34.5" customHeight="1">
      <c r="A7" s="1096"/>
      <c r="B7" s="1096"/>
      <c r="C7" s="1106"/>
      <c r="D7" s="1096"/>
      <c r="E7" s="1096"/>
      <c r="F7" s="1096"/>
      <c r="G7" s="1096"/>
      <c r="H7" s="1096"/>
      <c r="I7" s="1096"/>
      <c r="J7" s="1096"/>
      <c r="K7" s="1106"/>
      <c r="L7" s="1096"/>
      <c r="M7" s="1096"/>
      <c r="N7" s="1096"/>
      <c r="O7" s="1096"/>
      <c r="P7" s="1096"/>
      <c r="Q7" s="1096"/>
    </row>
    <row r="8" spans="1:19" s="657" customFormat="1" ht="25.5" customHeight="1">
      <c r="A8" s="1097"/>
      <c r="B8" s="1097"/>
      <c r="C8" s="1107"/>
      <c r="D8" s="1097"/>
      <c r="E8" s="1097"/>
      <c r="F8" s="1097"/>
      <c r="G8" s="1097"/>
      <c r="H8" s="1097"/>
      <c r="I8" s="1097"/>
      <c r="J8" s="1097"/>
      <c r="K8" s="1107"/>
      <c r="L8" s="1097"/>
      <c r="M8" s="1097"/>
      <c r="N8" s="1097"/>
      <c r="O8" s="1097"/>
      <c r="P8" s="1097"/>
      <c r="Q8" s="1097"/>
    </row>
    <row r="9" spans="1:19" s="661" customFormat="1" ht="17.25" customHeight="1">
      <c r="A9" s="658" t="s">
        <v>10</v>
      </c>
      <c r="B9" s="659" t="s">
        <v>11</v>
      </c>
      <c r="C9" s="658">
        <v>1</v>
      </c>
      <c r="D9" s="660">
        <f t="shared" ref="D9:Q9" si="0">C9+1</f>
        <v>2</v>
      </c>
      <c r="E9" s="660">
        <f t="shared" si="0"/>
        <v>3</v>
      </c>
      <c r="F9" s="660">
        <f t="shared" si="0"/>
        <v>4</v>
      </c>
      <c r="G9" s="660">
        <f t="shared" si="0"/>
        <v>5</v>
      </c>
      <c r="H9" s="660">
        <f t="shared" si="0"/>
        <v>6</v>
      </c>
      <c r="I9" s="660">
        <f t="shared" si="0"/>
        <v>7</v>
      </c>
      <c r="J9" s="660">
        <f t="shared" si="0"/>
        <v>8</v>
      </c>
      <c r="K9" s="660">
        <f t="shared" si="0"/>
        <v>9</v>
      </c>
      <c r="L9" s="660">
        <f t="shared" si="0"/>
        <v>10</v>
      </c>
      <c r="M9" s="660">
        <f t="shared" si="0"/>
        <v>11</v>
      </c>
      <c r="N9" s="660">
        <f t="shared" si="0"/>
        <v>12</v>
      </c>
      <c r="O9" s="660">
        <f t="shared" si="0"/>
        <v>13</v>
      </c>
      <c r="P9" s="660">
        <f t="shared" si="0"/>
        <v>14</v>
      </c>
      <c r="Q9" s="660">
        <f t="shared" si="0"/>
        <v>15</v>
      </c>
    </row>
    <row r="10" spans="1:19" s="36" customFormat="1" ht="18" customHeight="1">
      <c r="A10" s="37"/>
      <c r="B10" s="662" t="s">
        <v>102</v>
      </c>
      <c r="C10" s="24">
        <f t="shared" ref="C10:Q10" si="1">C11+C105+C106</f>
        <v>7672168.2333390005</v>
      </c>
      <c r="D10" s="24">
        <f t="shared" si="1"/>
        <v>492267.23333900003</v>
      </c>
      <c r="E10" s="24">
        <f t="shared" si="1"/>
        <v>2088385</v>
      </c>
      <c r="F10" s="24">
        <f t="shared" si="1"/>
        <v>10706</v>
      </c>
      <c r="G10" s="24">
        <f t="shared" si="1"/>
        <v>1000</v>
      </c>
      <c r="H10" s="24">
        <f t="shared" si="1"/>
        <v>0</v>
      </c>
      <c r="I10" s="24">
        <f t="shared" si="1"/>
        <v>333799</v>
      </c>
      <c r="J10" s="24">
        <f t="shared" si="1"/>
        <v>8657</v>
      </c>
      <c r="K10" s="24">
        <f t="shared" si="1"/>
        <v>832473</v>
      </c>
      <c r="L10" s="24">
        <f t="shared" si="1"/>
        <v>707133</v>
      </c>
      <c r="M10" s="24">
        <f t="shared" si="1"/>
        <v>125340</v>
      </c>
      <c r="N10" s="24">
        <f t="shared" si="1"/>
        <v>3458364</v>
      </c>
      <c r="O10" s="24">
        <f t="shared" si="1"/>
        <v>3087727</v>
      </c>
      <c r="P10" s="24">
        <f t="shared" si="1"/>
        <v>370637</v>
      </c>
      <c r="Q10" s="24">
        <f t="shared" si="1"/>
        <v>446517</v>
      </c>
      <c r="R10" s="663"/>
      <c r="S10" s="663"/>
    </row>
    <row r="11" spans="1:19" s="36" customFormat="1" ht="37.5">
      <c r="A11" s="37" t="s">
        <v>10</v>
      </c>
      <c r="B11" s="664" t="s">
        <v>103</v>
      </c>
      <c r="C11" s="24">
        <f t="shared" ref="C11:Q11" si="2">C12+C104</f>
        <v>3355683.233339</v>
      </c>
      <c r="D11" s="24">
        <f t="shared" si="2"/>
        <v>492267.23333900003</v>
      </c>
      <c r="E11" s="24">
        <f t="shared" si="2"/>
        <v>2088385</v>
      </c>
      <c r="F11" s="24">
        <f t="shared" si="2"/>
        <v>10706</v>
      </c>
      <c r="G11" s="24">
        <f t="shared" si="2"/>
        <v>1000</v>
      </c>
      <c r="H11" s="24">
        <f t="shared" si="2"/>
        <v>0</v>
      </c>
      <c r="I11" s="24">
        <f t="shared" si="2"/>
        <v>333799</v>
      </c>
      <c r="J11" s="24">
        <f t="shared" si="2"/>
        <v>8657</v>
      </c>
      <c r="K11" s="24">
        <f t="shared" si="2"/>
        <v>125340</v>
      </c>
      <c r="L11" s="24">
        <f t="shared" si="2"/>
        <v>0</v>
      </c>
      <c r="M11" s="24">
        <f t="shared" si="2"/>
        <v>125340</v>
      </c>
      <c r="N11" s="24">
        <f t="shared" si="2"/>
        <v>295529</v>
      </c>
      <c r="O11" s="24">
        <f t="shared" si="2"/>
        <v>0</v>
      </c>
      <c r="P11" s="24">
        <f t="shared" si="2"/>
        <v>295529</v>
      </c>
      <c r="Q11" s="24">
        <f t="shared" si="2"/>
        <v>0</v>
      </c>
      <c r="R11" s="663"/>
      <c r="S11" s="663"/>
    </row>
    <row r="12" spans="1:19" s="36" customFormat="1" ht="18.75">
      <c r="A12" s="37" t="s">
        <v>104</v>
      </c>
      <c r="B12" s="664" t="s">
        <v>105</v>
      </c>
      <c r="C12" s="24">
        <f t="shared" ref="C12:Q12" si="3">C13+C100+C101+C102+C103</f>
        <v>3347026.233339</v>
      </c>
      <c r="D12" s="24">
        <f t="shared" si="3"/>
        <v>492267.23333900003</v>
      </c>
      <c r="E12" s="24">
        <f t="shared" si="3"/>
        <v>2088385</v>
      </c>
      <c r="F12" s="24">
        <f t="shared" si="3"/>
        <v>10706</v>
      </c>
      <c r="G12" s="24">
        <f t="shared" si="3"/>
        <v>1000</v>
      </c>
      <c r="H12" s="24">
        <f t="shared" si="3"/>
        <v>0</v>
      </c>
      <c r="I12" s="24">
        <f t="shared" si="3"/>
        <v>333799</v>
      </c>
      <c r="J12" s="24">
        <f t="shared" si="3"/>
        <v>0</v>
      </c>
      <c r="K12" s="24">
        <f t="shared" si="3"/>
        <v>125340</v>
      </c>
      <c r="L12" s="24">
        <f t="shared" si="3"/>
        <v>0</v>
      </c>
      <c r="M12" s="24">
        <f t="shared" si="3"/>
        <v>125340</v>
      </c>
      <c r="N12" s="24">
        <f t="shared" si="3"/>
        <v>295529</v>
      </c>
      <c r="O12" s="24">
        <f t="shared" si="3"/>
        <v>0</v>
      </c>
      <c r="P12" s="24">
        <f t="shared" si="3"/>
        <v>295529</v>
      </c>
      <c r="Q12" s="24">
        <f t="shared" si="3"/>
        <v>0</v>
      </c>
      <c r="S12" s="663"/>
    </row>
    <row r="13" spans="1:19" s="36" customFormat="1" ht="18.75">
      <c r="A13" s="37" t="s">
        <v>15</v>
      </c>
      <c r="B13" s="665" t="s">
        <v>106</v>
      </c>
      <c r="C13" s="24">
        <f t="shared" ref="C13:Q13" si="4">C14+C32+C60+C97+C98+C99</f>
        <v>3001521.233339</v>
      </c>
      <c r="D13" s="24">
        <f t="shared" si="4"/>
        <v>492267.23333900003</v>
      </c>
      <c r="E13" s="24">
        <f t="shared" si="4"/>
        <v>2088385</v>
      </c>
      <c r="F13" s="24">
        <f t="shared" si="4"/>
        <v>0</v>
      </c>
      <c r="G13" s="24">
        <f t="shared" si="4"/>
        <v>0</v>
      </c>
      <c r="H13" s="24">
        <f t="shared" si="4"/>
        <v>0</v>
      </c>
      <c r="I13" s="24">
        <f t="shared" si="4"/>
        <v>0</v>
      </c>
      <c r="J13" s="24">
        <f t="shared" si="4"/>
        <v>0</v>
      </c>
      <c r="K13" s="24">
        <f t="shared" si="4"/>
        <v>125340</v>
      </c>
      <c r="L13" s="24">
        <f t="shared" si="4"/>
        <v>0</v>
      </c>
      <c r="M13" s="24">
        <f t="shared" si="4"/>
        <v>125340</v>
      </c>
      <c r="N13" s="24">
        <f t="shared" si="4"/>
        <v>295529</v>
      </c>
      <c r="O13" s="24">
        <f t="shared" si="4"/>
        <v>0</v>
      </c>
      <c r="P13" s="24">
        <f t="shared" si="4"/>
        <v>295529</v>
      </c>
      <c r="Q13" s="24">
        <f t="shared" si="4"/>
        <v>0</v>
      </c>
      <c r="R13" s="663"/>
      <c r="S13" s="663"/>
    </row>
    <row r="14" spans="1:19" s="35" customFormat="1" ht="18.75">
      <c r="A14" s="38">
        <v>1</v>
      </c>
      <c r="B14" s="39" t="s">
        <v>107</v>
      </c>
      <c r="C14" s="24">
        <f t="shared" ref="C14:I14" si="5">SUM(C15:C31)</f>
        <v>1749425.6398570002</v>
      </c>
      <c r="D14" s="24">
        <f t="shared" si="5"/>
        <v>226623.639857</v>
      </c>
      <c r="E14" s="24">
        <f t="shared" si="5"/>
        <v>1376708</v>
      </c>
      <c r="F14" s="24">
        <f t="shared" si="5"/>
        <v>0</v>
      </c>
      <c r="G14" s="24">
        <f t="shared" si="5"/>
        <v>0</v>
      </c>
      <c r="H14" s="24">
        <f t="shared" si="5"/>
        <v>0</v>
      </c>
      <c r="I14" s="24">
        <f t="shared" si="5"/>
        <v>0</v>
      </c>
      <c r="J14" s="24"/>
      <c r="K14" s="24">
        <f t="shared" ref="K14:Q14" si="6">SUM(K15:K31)</f>
        <v>88467</v>
      </c>
      <c r="L14" s="24">
        <f t="shared" si="6"/>
        <v>0</v>
      </c>
      <c r="M14" s="24">
        <f t="shared" si="6"/>
        <v>88467</v>
      </c>
      <c r="N14" s="24">
        <f t="shared" si="6"/>
        <v>57627</v>
      </c>
      <c r="O14" s="24">
        <f t="shared" si="6"/>
        <v>0</v>
      </c>
      <c r="P14" s="24">
        <f t="shared" si="6"/>
        <v>57627</v>
      </c>
      <c r="Q14" s="24">
        <f t="shared" si="6"/>
        <v>0</v>
      </c>
      <c r="R14" s="663"/>
      <c r="S14" s="663"/>
    </row>
    <row r="15" spans="1:19" s="36" customFormat="1" ht="18.75">
      <c r="A15" s="27" t="s">
        <v>108</v>
      </c>
      <c r="B15" s="28" t="s">
        <v>109</v>
      </c>
      <c r="C15" s="26">
        <f t="shared" ref="C15:C81" si="7">D15+E15+F15+G15+H15+I15+J15+K15+N15+Q15</f>
        <v>194912.21900000001</v>
      </c>
      <c r="D15" s="26">
        <f>PL25_TCDT!C18</f>
        <v>1619.2190000000001</v>
      </c>
      <c r="E15" s="26">
        <f>'PL26'!D13</f>
        <v>176369</v>
      </c>
      <c r="F15" s="26"/>
      <c r="G15" s="26"/>
      <c r="H15" s="26"/>
      <c r="I15" s="26"/>
      <c r="J15" s="26"/>
      <c r="K15" s="26">
        <f>L15+M15</f>
        <v>12684</v>
      </c>
      <c r="L15" s="26"/>
      <c r="M15" s="26">
        <f>'PL26'!U13</f>
        <v>12684</v>
      </c>
      <c r="N15" s="26">
        <f>O15+P15</f>
        <v>4240</v>
      </c>
      <c r="O15" s="26"/>
      <c r="P15" s="26">
        <f>'PL26'!T13</f>
        <v>4240</v>
      </c>
      <c r="Q15" s="26"/>
      <c r="R15" s="663"/>
      <c r="S15" s="663"/>
    </row>
    <row r="16" spans="1:19" s="36" customFormat="1" ht="18.75">
      <c r="A16" s="27" t="s">
        <v>110</v>
      </c>
      <c r="B16" s="28" t="s">
        <v>112</v>
      </c>
      <c r="C16" s="26">
        <f t="shared" si="7"/>
        <v>118262</v>
      </c>
      <c r="D16" s="26">
        <f>PL25_TCDT!C13</f>
        <v>31790</v>
      </c>
      <c r="E16" s="26">
        <f>'PL26'!D14</f>
        <v>35004</v>
      </c>
      <c r="F16" s="26"/>
      <c r="G16" s="26"/>
      <c r="H16" s="26"/>
      <c r="I16" s="26"/>
      <c r="J16" s="26"/>
      <c r="K16" s="26">
        <f t="shared" ref="K16:K79" si="8">L16+M16</f>
        <v>33</v>
      </c>
      <c r="L16" s="26"/>
      <c r="M16" s="26">
        <f>'PL26'!U14</f>
        <v>33</v>
      </c>
      <c r="N16" s="26">
        <f t="shared" ref="N16:N50" si="9">O16+P16</f>
        <v>51435</v>
      </c>
      <c r="O16" s="26"/>
      <c r="P16" s="26">
        <f>'PL26'!T14</f>
        <v>51435</v>
      </c>
      <c r="Q16" s="26"/>
      <c r="R16" s="663"/>
      <c r="S16" s="663"/>
    </row>
    <row r="17" spans="1:19" s="36" customFormat="1" ht="18.75">
      <c r="A17" s="27" t="s">
        <v>111</v>
      </c>
      <c r="B17" s="28" t="s">
        <v>114</v>
      </c>
      <c r="C17" s="26">
        <f t="shared" si="7"/>
        <v>1503</v>
      </c>
      <c r="D17" s="26"/>
      <c r="E17" s="26">
        <f>'PL26'!D15</f>
        <v>452</v>
      </c>
      <c r="F17" s="26"/>
      <c r="G17" s="26"/>
      <c r="H17" s="26"/>
      <c r="I17" s="26"/>
      <c r="J17" s="26"/>
      <c r="K17" s="26">
        <f t="shared" si="8"/>
        <v>0</v>
      </c>
      <c r="L17" s="26"/>
      <c r="M17" s="26"/>
      <c r="N17" s="26">
        <f t="shared" si="9"/>
        <v>1051</v>
      </c>
      <c r="O17" s="26"/>
      <c r="P17" s="26">
        <f>'PL26'!T15</f>
        <v>1051</v>
      </c>
      <c r="Q17" s="26"/>
      <c r="R17" s="663"/>
      <c r="S17" s="663"/>
    </row>
    <row r="18" spans="1:19" s="36" customFormat="1" ht="18.75">
      <c r="A18" s="27" t="s">
        <v>113</v>
      </c>
      <c r="B18" s="28" t="s">
        <v>116</v>
      </c>
      <c r="C18" s="26">
        <f t="shared" si="7"/>
        <v>14617</v>
      </c>
      <c r="D18" s="26"/>
      <c r="E18" s="26">
        <f>'PL26'!D16</f>
        <v>14617</v>
      </c>
      <c r="F18" s="26"/>
      <c r="G18" s="26"/>
      <c r="H18" s="26"/>
      <c r="I18" s="26"/>
      <c r="J18" s="26"/>
      <c r="K18" s="26">
        <f t="shared" si="8"/>
        <v>0</v>
      </c>
      <c r="L18" s="26"/>
      <c r="M18" s="26"/>
      <c r="N18" s="26">
        <f t="shared" si="9"/>
        <v>0</v>
      </c>
      <c r="O18" s="26"/>
      <c r="P18" s="26">
        <f>'PL26'!T16</f>
        <v>0</v>
      </c>
      <c r="Q18" s="26"/>
      <c r="R18" s="663"/>
      <c r="S18" s="663"/>
    </row>
    <row r="19" spans="1:19" s="36" customFormat="1" ht="18.75">
      <c r="A19" s="27" t="s">
        <v>115</v>
      </c>
      <c r="B19" s="28" t="s">
        <v>118</v>
      </c>
      <c r="C19" s="26">
        <f t="shared" si="7"/>
        <v>42209</v>
      </c>
      <c r="D19" s="26"/>
      <c r="E19" s="26">
        <f>'PL26'!D17</f>
        <v>42209</v>
      </c>
      <c r="F19" s="26"/>
      <c r="G19" s="26"/>
      <c r="H19" s="26"/>
      <c r="I19" s="26"/>
      <c r="J19" s="26"/>
      <c r="K19" s="26">
        <f t="shared" si="8"/>
        <v>0</v>
      </c>
      <c r="L19" s="26"/>
      <c r="M19" s="26"/>
      <c r="N19" s="26">
        <f t="shared" si="9"/>
        <v>0</v>
      </c>
      <c r="O19" s="26"/>
      <c r="P19" s="26">
        <f>'PL26'!T17</f>
        <v>0</v>
      </c>
      <c r="Q19" s="26"/>
      <c r="R19" s="663"/>
      <c r="S19" s="663"/>
    </row>
    <row r="20" spans="1:19" s="36" customFormat="1" ht="18.75">
      <c r="A20" s="27" t="s">
        <v>117</v>
      </c>
      <c r="B20" s="28" t="s">
        <v>120</v>
      </c>
      <c r="C20" s="26">
        <f t="shared" si="7"/>
        <v>11202</v>
      </c>
      <c r="D20" s="26"/>
      <c r="E20" s="26">
        <f>'PL26'!D18</f>
        <v>10414</v>
      </c>
      <c r="F20" s="26"/>
      <c r="G20" s="26"/>
      <c r="H20" s="26"/>
      <c r="I20" s="26"/>
      <c r="J20" s="26"/>
      <c r="K20" s="26">
        <f t="shared" si="8"/>
        <v>488</v>
      </c>
      <c r="L20" s="26"/>
      <c r="M20" s="26">
        <f>'PL26'!U18</f>
        <v>488</v>
      </c>
      <c r="N20" s="26">
        <f t="shared" si="9"/>
        <v>300</v>
      </c>
      <c r="O20" s="26"/>
      <c r="P20" s="26">
        <f>'PL26'!T18</f>
        <v>300</v>
      </c>
      <c r="Q20" s="26"/>
      <c r="R20" s="663"/>
      <c r="S20" s="663"/>
    </row>
    <row r="21" spans="1:19" s="36" customFormat="1" ht="18.75">
      <c r="A21" s="27" t="s">
        <v>119</v>
      </c>
      <c r="B21" s="28" t="s">
        <v>122</v>
      </c>
      <c r="C21" s="26">
        <f t="shared" si="7"/>
        <v>525886.66339999996</v>
      </c>
      <c r="D21" s="26">
        <f>PL25_TCDT!C12</f>
        <v>9318.6634000000013</v>
      </c>
      <c r="E21" s="26">
        <f>'PL26'!D19</f>
        <v>464388</v>
      </c>
      <c r="F21" s="26"/>
      <c r="G21" s="26"/>
      <c r="H21" s="26"/>
      <c r="I21" s="26"/>
      <c r="J21" s="26"/>
      <c r="K21" s="26">
        <f t="shared" si="8"/>
        <v>51965</v>
      </c>
      <c r="L21" s="26"/>
      <c r="M21" s="26">
        <f>'PL26'!U19</f>
        <v>51965</v>
      </c>
      <c r="N21" s="26">
        <f t="shared" si="9"/>
        <v>215</v>
      </c>
      <c r="O21" s="26"/>
      <c r="P21" s="26">
        <f>'PL26'!T19</f>
        <v>215</v>
      </c>
      <c r="Q21" s="26"/>
      <c r="R21" s="663"/>
      <c r="S21" s="663"/>
    </row>
    <row r="22" spans="1:19" s="36" customFormat="1" ht="18.75">
      <c r="A22" s="27" t="s">
        <v>121</v>
      </c>
      <c r="B22" s="28" t="s">
        <v>124</v>
      </c>
      <c r="C22" s="26">
        <f t="shared" si="7"/>
        <v>435315.484</v>
      </c>
      <c r="D22" s="26">
        <f>PL25_TCDT!C23</f>
        <v>100508.484</v>
      </c>
      <c r="E22" s="26">
        <f>'PL26'!D20</f>
        <v>324132</v>
      </c>
      <c r="F22" s="26"/>
      <c r="G22" s="26"/>
      <c r="H22" s="26"/>
      <c r="I22" s="26"/>
      <c r="J22" s="26"/>
      <c r="K22" s="26">
        <f t="shared" si="8"/>
        <v>10675</v>
      </c>
      <c r="L22" s="26"/>
      <c r="M22" s="26">
        <f>'PL26'!U20</f>
        <v>10675</v>
      </c>
      <c r="N22" s="26">
        <f t="shared" si="9"/>
        <v>0</v>
      </c>
      <c r="O22" s="26"/>
      <c r="P22" s="26">
        <f>'PL26'!T20</f>
        <v>0</v>
      </c>
      <c r="Q22" s="26"/>
      <c r="R22" s="663"/>
      <c r="S22" s="663"/>
    </row>
    <row r="23" spans="1:19" s="36" customFormat="1" ht="18.75">
      <c r="A23" s="27" t="s">
        <v>123</v>
      </c>
      <c r="B23" s="28" t="s">
        <v>126</v>
      </c>
      <c r="C23" s="26">
        <f t="shared" si="7"/>
        <v>142367.804672</v>
      </c>
      <c r="D23" s="26">
        <f>PL25_TCDT!C22</f>
        <v>78623.804671999998</v>
      </c>
      <c r="E23" s="26">
        <f>'PL26'!D21</f>
        <v>59367</v>
      </c>
      <c r="F23" s="26"/>
      <c r="G23" s="26"/>
      <c r="H23" s="26"/>
      <c r="I23" s="26"/>
      <c r="J23" s="26"/>
      <c r="K23" s="26">
        <f t="shared" si="8"/>
        <v>4337</v>
      </c>
      <c r="L23" s="26"/>
      <c r="M23" s="26">
        <f>'PL26'!U21</f>
        <v>4337</v>
      </c>
      <c r="N23" s="26">
        <f t="shared" si="9"/>
        <v>40</v>
      </c>
      <c r="O23" s="26"/>
      <c r="P23" s="26">
        <f>'PL26'!T21</f>
        <v>40</v>
      </c>
      <c r="Q23" s="26"/>
      <c r="R23" s="663"/>
      <c r="S23" s="663"/>
    </row>
    <row r="24" spans="1:19" s="36" customFormat="1" ht="18.75">
      <c r="A24" s="27" t="s">
        <v>125</v>
      </c>
      <c r="B24" s="28" t="s">
        <v>128</v>
      </c>
      <c r="C24" s="26">
        <f t="shared" si="7"/>
        <v>41897.026299999998</v>
      </c>
      <c r="D24" s="26">
        <f>PL25_TCDT!C16</f>
        <v>3493.0263</v>
      </c>
      <c r="E24" s="26">
        <f>'PL26'!D22</f>
        <v>33367</v>
      </c>
      <c r="F24" s="26"/>
      <c r="G24" s="26"/>
      <c r="H24" s="26"/>
      <c r="I24" s="26"/>
      <c r="J24" s="26"/>
      <c r="K24" s="26">
        <f t="shared" si="8"/>
        <v>4855</v>
      </c>
      <c r="L24" s="26"/>
      <c r="M24" s="26">
        <f>'PL26'!U22</f>
        <v>4855</v>
      </c>
      <c r="N24" s="26">
        <f t="shared" si="9"/>
        <v>182</v>
      </c>
      <c r="O24" s="26"/>
      <c r="P24" s="26">
        <f>'PL26'!T22</f>
        <v>182</v>
      </c>
      <c r="Q24" s="26"/>
      <c r="R24" s="663"/>
      <c r="S24" s="663"/>
    </row>
    <row r="25" spans="1:19" s="36" customFormat="1" ht="18.75">
      <c r="A25" s="27" t="s">
        <v>127</v>
      </c>
      <c r="B25" s="28" t="s">
        <v>130</v>
      </c>
      <c r="C25" s="26">
        <f t="shared" si="7"/>
        <v>11856</v>
      </c>
      <c r="D25" s="26"/>
      <c r="E25" s="26">
        <f>'PL26'!D23</f>
        <v>11696</v>
      </c>
      <c r="F25" s="26"/>
      <c r="G25" s="26"/>
      <c r="H25" s="26"/>
      <c r="I25" s="26"/>
      <c r="J25" s="26"/>
      <c r="K25" s="26">
        <f t="shared" si="8"/>
        <v>128</v>
      </c>
      <c r="L25" s="26"/>
      <c r="M25" s="26">
        <f>'PL26'!U23</f>
        <v>128</v>
      </c>
      <c r="N25" s="26">
        <f t="shared" si="9"/>
        <v>32</v>
      </c>
      <c r="O25" s="26"/>
      <c r="P25" s="26">
        <f>'PL26'!T23</f>
        <v>32</v>
      </c>
      <c r="Q25" s="26"/>
      <c r="R25" s="663"/>
      <c r="S25" s="663"/>
    </row>
    <row r="26" spans="1:19" s="36" customFormat="1" ht="18.75">
      <c r="A26" s="27" t="s">
        <v>129</v>
      </c>
      <c r="B26" s="28" t="s">
        <v>132</v>
      </c>
      <c r="C26" s="26">
        <f t="shared" si="7"/>
        <v>100671.766</v>
      </c>
      <c r="D26" s="26">
        <f>PL25_TCDT!C26</f>
        <v>161.7660000000028</v>
      </c>
      <c r="E26" s="26">
        <f>'PL26'!D24</f>
        <v>100510</v>
      </c>
      <c r="F26" s="26"/>
      <c r="G26" s="26"/>
      <c r="H26" s="26"/>
      <c r="I26" s="26"/>
      <c r="J26" s="26"/>
      <c r="K26" s="26">
        <f t="shared" si="8"/>
        <v>0</v>
      </c>
      <c r="L26" s="26"/>
      <c r="M26" s="26">
        <f>'PL26'!U24</f>
        <v>0</v>
      </c>
      <c r="N26" s="26">
        <f t="shared" si="9"/>
        <v>0</v>
      </c>
      <c r="O26" s="26"/>
      <c r="P26" s="26">
        <f>'PL26'!T24</f>
        <v>0</v>
      </c>
      <c r="Q26" s="26"/>
      <c r="R26" s="663"/>
      <c r="S26" s="663"/>
    </row>
    <row r="27" spans="1:19" s="36" customFormat="1" ht="18.75">
      <c r="A27" s="27" t="s">
        <v>131</v>
      </c>
      <c r="B27" s="28" t="s">
        <v>134</v>
      </c>
      <c r="C27" s="26">
        <f t="shared" si="7"/>
        <v>13843</v>
      </c>
      <c r="D27" s="26"/>
      <c r="E27" s="26">
        <f>'PL26'!D25</f>
        <v>13843</v>
      </c>
      <c r="F27" s="26"/>
      <c r="G27" s="26"/>
      <c r="H27" s="26"/>
      <c r="I27" s="26"/>
      <c r="J27" s="26"/>
      <c r="K27" s="26">
        <f t="shared" si="8"/>
        <v>0</v>
      </c>
      <c r="L27" s="26"/>
      <c r="M27" s="26">
        <f>'PL26'!U25</f>
        <v>0</v>
      </c>
      <c r="N27" s="26">
        <f t="shared" si="9"/>
        <v>0</v>
      </c>
      <c r="O27" s="26"/>
      <c r="P27" s="26">
        <f>'PL26'!T25</f>
        <v>0</v>
      </c>
      <c r="Q27" s="26"/>
      <c r="R27" s="663"/>
      <c r="S27" s="663"/>
    </row>
    <row r="28" spans="1:19" s="36" customFormat="1" ht="18.75">
      <c r="A28" s="27" t="s">
        <v>133</v>
      </c>
      <c r="B28" s="28" t="s">
        <v>136</v>
      </c>
      <c r="C28" s="26">
        <f t="shared" si="7"/>
        <v>11869</v>
      </c>
      <c r="D28" s="26"/>
      <c r="E28" s="26">
        <f>'PL26'!D26</f>
        <v>11411</v>
      </c>
      <c r="F28" s="26"/>
      <c r="G28" s="26"/>
      <c r="H28" s="26"/>
      <c r="I28" s="26"/>
      <c r="J28" s="26"/>
      <c r="K28" s="26">
        <f t="shared" si="8"/>
        <v>358</v>
      </c>
      <c r="L28" s="26"/>
      <c r="M28" s="26">
        <f>'PL26'!U26</f>
        <v>358</v>
      </c>
      <c r="N28" s="26">
        <f t="shared" si="9"/>
        <v>100</v>
      </c>
      <c r="O28" s="26"/>
      <c r="P28" s="26">
        <f>'PL26'!T26</f>
        <v>100</v>
      </c>
      <c r="Q28" s="26"/>
      <c r="R28" s="663"/>
      <c r="S28" s="663"/>
    </row>
    <row r="29" spans="1:19" s="36" customFormat="1" ht="18.75">
      <c r="A29" s="27" t="s">
        <v>135</v>
      </c>
      <c r="B29" s="28" t="s">
        <v>138</v>
      </c>
      <c r="C29" s="26">
        <f t="shared" si="7"/>
        <v>25078</v>
      </c>
      <c r="D29" s="26"/>
      <c r="E29" s="26">
        <f>'PL26'!D27</f>
        <v>23278</v>
      </c>
      <c r="F29" s="26"/>
      <c r="G29" s="26"/>
      <c r="H29" s="26"/>
      <c r="I29" s="26"/>
      <c r="J29" s="26"/>
      <c r="K29" s="26">
        <f t="shared" si="8"/>
        <v>1768</v>
      </c>
      <c r="L29" s="26"/>
      <c r="M29" s="26">
        <f>'PL26'!U27</f>
        <v>1768</v>
      </c>
      <c r="N29" s="26">
        <f t="shared" si="9"/>
        <v>32</v>
      </c>
      <c r="O29" s="26"/>
      <c r="P29" s="26">
        <f>'PL26'!T27</f>
        <v>32</v>
      </c>
      <c r="Q29" s="26"/>
      <c r="R29" s="663"/>
      <c r="S29" s="663"/>
    </row>
    <row r="30" spans="1:19" s="36" customFormat="1" ht="18.75">
      <c r="A30" s="27" t="s">
        <v>137</v>
      </c>
      <c r="B30" s="28" t="s">
        <v>140</v>
      </c>
      <c r="C30" s="26">
        <f t="shared" si="7"/>
        <v>23353.644672999999</v>
      </c>
      <c r="D30" s="26">
        <f>PL25_TCDT!C32</f>
        <v>235.64467299999998</v>
      </c>
      <c r="E30" s="26">
        <f>'PL26'!D28</f>
        <v>23118</v>
      </c>
      <c r="F30" s="26"/>
      <c r="G30" s="26"/>
      <c r="H30" s="26"/>
      <c r="I30" s="26"/>
      <c r="J30" s="26"/>
      <c r="K30" s="26">
        <f t="shared" si="8"/>
        <v>0</v>
      </c>
      <c r="L30" s="26"/>
      <c r="M30" s="26">
        <f>'PL26'!U28</f>
        <v>0</v>
      </c>
      <c r="N30" s="26">
        <f t="shared" si="9"/>
        <v>0</v>
      </c>
      <c r="O30" s="26"/>
      <c r="P30" s="26">
        <f>'PL26'!T28</f>
        <v>0</v>
      </c>
      <c r="Q30" s="26"/>
      <c r="R30" s="663"/>
      <c r="S30" s="663"/>
    </row>
    <row r="31" spans="1:19" s="36" customFormat="1" ht="18.75">
      <c r="A31" s="27" t="s">
        <v>139</v>
      </c>
      <c r="B31" s="28" t="s">
        <v>141</v>
      </c>
      <c r="C31" s="26">
        <f t="shared" si="7"/>
        <v>34582.031812000001</v>
      </c>
      <c r="D31" s="26">
        <f>PL25_TCDT!C17</f>
        <v>873.03181200000108</v>
      </c>
      <c r="E31" s="26">
        <f>'PL26'!D29</f>
        <v>32533</v>
      </c>
      <c r="F31" s="26"/>
      <c r="G31" s="26"/>
      <c r="H31" s="26"/>
      <c r="I31" s="26"/>
      <c r="J31" s="26"/>
      <c r="K31" s="26">
        <f t="shared" si="8"/>
        <v>1176</v>
      </c>
      <c r="L31" s="26"/>
      <c r="M31" s="26">
        <f>'PL26'!U29</f>
        <v>1176</v>
      </c>
      <c r="N31" s="26">
        <f t="shared" si="9"/>
        <v>0</v>
      </c>
      <c r="O31" s="26"/>
      <c r="P31" s="26">
        <f>'PL26'!T29</f>
        <v>0</v>
      </c>
      <c r="Q31" s="26"/>
      <c r="R31" s="663"/>
      <c r="S31" s="663"/>
    </row>
    <row r="32" spans="1:19" s="35" customFormat="1" ht="18.75">
      <c r="A32" s="38">
        <v>2</v>
      </c>
      <c r="B32" s="39" t="s">
        <v>142</v>
      </c>
      <c r="C32" s="24">
        <f t="shared" ref="C32:Q32" si="10">SUM(C33:C59)</f>
        <v>844660.59348199994</v>
      </c>
      <c r="D32" s="24">
        <f t="shared" si="10"/>
        <v>265643.593482</v>
      </c>
      <c r="E32" s="24">
        <f t="shared" si="10"/>
        <v>363513</v>
      </c>
      <c r="F32" s="24">
        <f t="shared" si="10"/>
        <v>0</v>
      </c>
      <c r="G32" s="24">
        <f t="shared" si="10"/>
        <v>0</v>
      </c>
      <c r="H32" s="24">
        <f t="shared" si="10"/>
        <v>0</v>
      </c>
      <c r="I32" s="24">
        <f t="shared" si="10"/>
        <v>0</v>
      </c>
      <c r="J32" s="24">
        <f t="shared" si="10"/>
        <v>0</v>
      </c>
      <c r="K32" s="24">
        <f t="shared" si="10"/>
        <v>36049</v>
      </c>
      <c r="L32" s="24">
        <f t="shared" si="10"/>
        <v>0</v>
      </c>
      <c r="M32" s="24">
        <f t="shared" si="10"/>
        <v>36049</v>
      </c>
      <c r="N32" s="24">
        <f t="shared" si="10"/>
        <v>179455</v>
      </c>
      <c r="O32" s="24">
        <f t="shared" si="10"/>
        <v>0</v>
      </c>
      <c r="P32" s="24">
        <f t="shared" si="10"/>
        <v>179455</v>
      </c>
      <c r="Q32" s="24">
        <f t="shared" si="10"/>
        <v>0</v>
      </c>
      <c r="R32" s="663"/>
      <c r="S32" s="663"/>
    </row>
    <row r="33" spans="1:19" s="36" customFormat="1" ht="18.75">
      <c r="A33" s="27" t="s">
        <v>143</v>
      </c>
      <c r="B33" s="28" t="s">
        <v>144</v>
      </c>
      <c r="C33" s="26">
        <f t="shared" si="7"/>
        <v>21119</v>
      </c>
      <c r="D33" s="26"/>
      <c r="E33" s="26">
        <f>'PL26'!D31</f>
        <v>10733</v>
      </c>
      <c r="F33" s="26"/>
      <c r="G33" s="26"/>
      <c r="H33" s="26"/>
      <c r="I33" s="26"/>
      <c r="J33" s="26"/>
      <c r="K33" s="26">
        <f t="shared" si="8"/>
        <v>5200</v>
      </c>
      <c r="L33" s="26"/>
      <c r="M33" s="26">
        <f>'PL26'!U31</f>
        <v>5200</v>
      </c>
      <c r="N33" s="26">
        <f t="shared" si="9"/>
        <v>5186</v>
      </c>
      <c r="O33" s="26"/>
      <c r="P33" s="26">
        <f>'PL26'!T31</f>
        <v>5186</v>
      </c>
      <c r="Q33" s="26"/>
      <c r="R33" s="663"/>
      <c r="S33" s="663"/>
    </row>
    <row r="34" spans="1:19" s="36" customFormat="1" ht="18.75">
      <c r="A34" s="27" t="s">
        <v>145</v>
      </c>
      <c r="B34" s="28" t="s">
        <v>146</v>
      </c>
      <c r="C34" s="26">
        <f t="shared" si="7"/>
        <v>51854</v>
      </c>
      <c r="D34" s="26">
        <f>PL25_TCDT!C40</f>
        <v>5890</v>
      </c>
      <c r="E34" s="26">
        <f>'PL26'!D32</f>
        <v>44924</v>
      </c>
      <c r="F34" s="26"/>
      <c r="G34" s="26"/>
      <c r="H34" s="26"/>
      <c r="I34" s="26"/>
      <c r="J34" s="26"/>
      <c r="K34" s="26">
        <f t="shared" si="8"/>
        <v>1040</v>
      </c>
      <c r="L34" s="26"/>
      <c r="M34" s="26">
        <f>'PL26'!U32</f>
        <v>1040</v>
      </c>
      <c r="N34" s="26">
        <f t="shared" si="9"/>
        <v>0</v>
      </c>
      <c r="O34" s="26"/>
      <c r="P34" s="26">
        <f>'PL26'!T32</f>
        <v>0</v>
      </c>
      <c r="Q34" s="26"/>
      <c r="R34" s="663"/>
      <c r="S34" s="663"/>
    </row>
    <row r="35" spans="1:19" s="36" customFormat="1" ht="18.75">
      <c r="A35" s="27" t="s">
        <v>147</v>
      </c>
      <c r="B35" s="28" t="s">
        <v>148</v>
      </c>
      <c r="C35" s="26">
        <f t="shared" si="7"/>
        <v>12423</v>
      </c>
      <c r="D35" s="26"/>
      <c r="E35" s="26">
        <f>'PL26'!D33</f>
        <v>12423</v>
      </c>
      <c r="F35" s="26"/>
      <c r="G35" s="26"/>
      <c r="H35" s="26"/>
      <c r="I35" s="26"/>
      <c r="J35" s="26"/>
      <c r="K35" s="26">
        <f t="shared" si="8"/>
        <v>0</v>
      </c>
      <c r="L35" s="26"/>
      <c r="M35" s="26">
        <f>'PL26'!U33</f>
        <v>0</v>
      </c>
      <c r="N35" s="26">
        <f t="shared" si="9"/>
        <v>0</v>
      </c>
      <c r="O35" s="26"/>
      <c r="P35" s="26">
        <f>'PL26'!T33</f>
        <v>0</v>
      </c>
      <c r="Q35" s="26"/>
      <c r="R35" s="663"/>
      <c r="S35" s="663"/>
    </row>
    <row r="36" spans="1:19" s="36" customFormat="1" ht="18.75">
      <c r="A36" s="27" t="s">
        <v>149</v>
      </c>
      <c r="B36" s="28" t="s">
        <v>150</v>
      </c>
      <c r="C36" s="26">
        <f t="shared" si="7"/>
        <v>40100</v>
      </c>
      <c r="D36" s="26">
        <f>PL25_TCDT!C36</f>
        <v>25127</v>
      </c>
      <c r="E36" s="26">
        <f>'PL26'!D34</f>
        <v>14918</v>
      </c>
      <c r="F36" s="26"/>
      <c r="G36" s="26"/>
      <c r="H36" s="26"/>
      <c r="I36" s="26"/>
      <c r="J36" s="26"/>
      <c r="K36" s="26">
        <f t="shared" si="8"/>
        <v>0</v>
      </c>
      <c r="L36" s="26"/>
      <c r="M36" s="26">
        <f>'PL26'!U34</f>
        <v>0</v>
      </c>
      <c r="N36" s="26">
        <f t="shared" si="9"/>
        <v>55</v>
      </c>
      <c r="O36" s="26"/>
      <c r="P36" s="26">
        <f>'PL26'!T34</f>
        <v>55</v>
      </c>
      <c r="Q36" s="26"/>
      <c r="R36" s="663"/>
      <c r="S36" s="663"/>
    </row>
    <row r="37" spans="1:19" s="36" customFormat="1" ht="18.75">
      <c r="A37" s="27" t="s">
        <v>151</v>
      </c>
      <c r="B37" s="28" t="s">
        <v>152</v>
      </c>
      <c r="C37" s="26">
        <f t="shared" si="7"/>
        <v>28765</v>
      </c>
      <c r="D37" s="26">
        <f>PL25_TCDT!C42</f>
        <v>992</v>
      </c>
      <c r="E37" s="26">
        <f>'PL26'!D35</f>
        <v>7172</v>
      </c>
      <c r="F37" s="26"/>
      <c r="G37" s="26"/>
      <c r="H37" s="26"/>
      <c r="I37" s="26"/>
      <c r="J37" s="26"/>
      <c r="K37" s="26">
        <f t="shared" si="8"/>
        <v>20601</v>
      </c>
      <c r="L37" s="26"/>
      <c r="M37" s="26">
        <f>'PL26'!U35</f>
        <v>20601</v>
      </c>
      <c r="N37" s="26">
        <f t="shared" si="9"/>
        <v>0</v>
      </c>
      <c r="O37" s="26"/>
      <c r="P37" s="26">
        <f>'PL26'!T35</f>
        <v>0</v>
      </c>
      <c r="Q37" s="26"/>
      <c r="R37" s="663"/>
      <c r="S37" s="663"/>
    </row>
    <row r="38" spans="1:19" s="36" customFormat="1" ht="18.75">
      <c r="A38" s="27" t="s">
        <v>153</v>
      </c>
      <c r="B38" s="28" t="s">
        <v>154</v>
      </c>
      <c r="C38" s="26">
        <f t="shared" si="7"/>
        <v>46984</v>
      </c>
      <c r="D38" s="26">
        <f>PL25_TCDT!C19</f>
        <v>30000</v>
      </c>
      <c r="E38" s="26">
        <f>'PL26'!D36</f>
        <v>16984</v>
      </c>
      <c r="F38" s="26"/>
      <c r="G38" s="26"/>
      <c r="H38" s="26"/>
      <c r="I38" s="26"/>
      <c r="J38" s="26"/>
      <c r="K38" s="26">
        <f t="shared" si="8"/>
        <v>0</v>
      </c>
      <c r="L38" s="26"/>
      <c r="M38" s="26">
        <f>'PL26'!U36</f>
        <v>0</v>
      </c>
      <c r="N38" s="26">
        <f t="shared" si="9"/>
        <v>0</v>
      </c>
      <c r="O38" s="26"/>
      <c r="P38" s="26">
        <f>'PL26'!T36</f>
        <v>0</v>
      </c>
      <c r="Q38" s="26"/>
      <c r="R38" s="663"/>
      <c r="S38" s="663"/>
    </row>
    <row r="39" spans="1:19" s="36" customFormat="1" ht="18.75">
      <c r="A39" s="27" t="s">
        <v>155</v>
      </c>
      <c r="B39" s="28" t="s">
        <v>156</v>
      </c>
      <c r="C39" s="26">
        <f t="shared" si="7"/>
        <v>9662</v>
      </c>
      <c r="D39" s="26"/>
      <c r="E39" s="26">
        <f>'PL26'!D37</f>
        <v>9662</v>
      </c>
      <c r="F39" s="26"/>
      <c r="G39" s="26"/>
      <c r="H39" s="26"/>
      <c r="I39" s="26"/>
      <c r="J39" s="26"/>
      <c r="K39" s="26">
        <f t="shared" si="8"/>
        <v>0</v>
      </c>
      <c r="L39" s="26"/>
      <c r="M39" s="26">
        <f>'PL26'!U37</f>
        <v>0</v>
      </c>
      <c r="N39" s="26">
        <f t="shared" si="9"/>
        <v>0</v>
      </c>
      <c r="O39" s="26"/>
      <c r="P39" s="26">
        <f>'PL26'!T37</f>
        <v>0</v>
      </c>
      <c r="Q39" s="26"/>
      <c r="R39" s="663"/>
      <c r="S39" s="663"/>
    </row>
    <row r="40" spans="1:19" s="36" customFormat="1" ht="18.75">
      <c r="A40" s="27" t="s">
        <v>157</v>
      </c>
      <c r="B40" s="28" t="s">
        <v>158</v>
      </c>
      <c r="C40" s="26">
        <f t="shared" si="7"/>
        <v>17226</v>
      </c>
      <c r="D40" s="26"/>
      <c r="E40" s="26">
        <f>'PL26'!D38</f>
        <v>17226</v>
      </c>
      <c r="F40" s="26"/>
      <c r="G40" s="26"/>
      <c r="H40" s="26"/>
      <c r="I40" s="26"/>
      <c r="J40" s="26"/>
      <c r="K40" s="26">
        <f t="shared" si="8"/>
        <v>0</v>
      </c>
      <c r="L40" s="26"/>
      <c r="M40" s="26">
        <f>'PL26'!U38</f>
        <v>0</v>
      </c>
      <c r="N40" s="26">
        <f t="shared" si="9"/>
        <v>0</v>
      </c>
      <c r="O40" s="26"/>
      <c r="P40" s="26">
        <f>'PL26'!T38</f>
        <v>0</v>
      </c>
      <c r="Q40" s="26"/>
      <c r="R40" s="663"/>
      <c r="S40" s="663"/>
    </row>
    <row r="41" spans="1:19" s="36" customFormat="1" ht="18.75">
      <c r="A41" s="27" t="s">
        <v>159</v>
      </c>
      <c r="B41" s="28" t="s">
        <v>160</v>
      </c>
      <c r="C41" s="26">
        <f t="shared" si="7"/>
        <v>27490.545975000001</v>
      </c>
      <c r="D41" s="26">
        <f>PL25_TCDT!C14</f>
        <v>11586.545974999999</v>
      </c>
      <c r="E41" s="26">
        <f>'PL26'!D39</f>
        <v>15471</v>
      </c>
      <c r="F41" s="26"/>
      <c r="G41" s="26"/>
      <c r="H41" s="26"/>
      <c r="I41" s="26"/>
      <c r="J41" s="26"/>
      <c r="K41" s="26">
        <f t="shared" si="8"/>
        <v>33</v>
      </c>
      <c r="L41" s="26"/>
      <c r="M41" s="26">
        <f>'PL26'!U39</f>
        <v>33</v>
      </c>
      <c r="N41" s="26">
        <f t="shared" si="9"/>
        <v>400</v>
      </c>
      <c r="O41" s="26"/>
      <c r="P41" s="26">
        <f>'PL26'!T39</f>
        <v>400</v>
      </c>
      <c r="Q41" s="26"/>
      <c r="R41" s="663"/>
      <c r="S41" s="663"/>
    </row>
    <row r="42" spans="1:19" s="36" customFormat="1" ht="18.75">
      <c r="A42" s="27" t="s">
        <v>161</v>
      </c>
      <c r="B42" s="28" t="s">
        <v>162</v>
      </c>
      <c r="C42" s="26">
        <f t="shared" si="7"/>
        <v>12406</v>
      </c>
      <c r="D42" s="26"/>
      <c r="E42" s="26">
        <f>'PL26'!D40</f>
        <v>12373</v>
      </c>
      <c r="F42" s="26"/>
      <c r="G42" s="26"/>
      <c r="H42" s="26"/>
      <c r="I42" s="26"/>
      <c r="J42" s="26"/>
      <c r="K42" s="26">
        <f t="shared" si="8"/>
        <v>33</v>
      </c>
      <c r="L42" s="26"/>
      <c r="M42" s="26">
        <f>'PL26'!U40</f>
        <v>33</v>
      </c>
      <c r="N42" s="26">
        <f t="shared" si="9"/>
        <v>0</v>
      </c>
      <c r="O42" s="26"/>
      <c r="P42" s="26">
        <f>'PL26'!T40</f>
        <v>0</v>
      </c>
      <c r="Q42" s="26"/>
      <c r="R42" s="663"/>
      <c r="S42" s="663"/>
    </row>
    <row r="43" spans="1:19" s="36" customFormat="1" ht="18.75">
      <c r="A43" s="27" t="s">
        <v>163</v>
      </c>
      <c r="B43" s="28" t="s">
        <v>164</v>
      </c>
      <c r="C43" s="26">
        <f t="shared" si="7"/>
        <v>44416.930999999997</v>
      </c>
      <c r="D43" s="26">
        <f>PL25_TCDT!C25</f>
        <v>7405.9310000000005</v>
      </c>
      <c r="E43" s="26">
        <f>'PL26'!D41</f>
        <v>37011</v>
      </c>
      <c r="F43" s="26"/>
      <c r="G43" s="26"/>
      <c r="H43" s="26"/>
      <c r="I43" s="26"/>
      <c r="J43" s="26"/>
      <c r="K43" s="26">
        <f t="shared" si="8"/>
        <v>0</v>
      </c>
      <c r="L43" s="26"/>
      <c r="M43" s="26">
        <f>'PL26'!U41</f>
        <v>0</v>
      </c>
      <c r="N43" s="26">
        <f t="shared" si="9"/>
        <v>0</v>
      </c>
      <c r="O43" s="26"/>
      <c r="P43" s="26">
        <f>'PL26'!T41</f>
        <v>0</v>
      </c>
      <c r="Q43" s="26"/>
      <c r="R43" s="663"/>
      <c r="S43" s="663"/>
    </row>
    <row r="44" spans="1:19" s="36" customFormat="1" ht="18.75">
      <c r="A44" s="27" t="s">
        <v>165</v>
      </c>
      <c r="B44" s="28" t="s">
        <v>166</v>
      </c>
      <c r="C44" s="26">
        <f t="shared" si="7"/>
        <v>3942</v>
      </c>
      <c r="D44" s="26"/>
      <c r="E44" s="26">
        <f>'PL26'!D42</f>
        <v>3942</v>
      </c>
      <c r="F44" s="26"/>
      <c r="G44" s="26"/>
      <c r="H44" s="26"/>
      <c r="I44" s="26"/>
      <c r="J44" s="26"/>
      <c r="K44" s="26">
        <f t="shared" si="8"/>
        <v>0</v>
      </c>
      <c r="L44" s="26"/>
      <c r="M44" s="26">
        <f>'PL26'!U42</f>
        <v>0</v>
      </c>
      <c r="N44" s="26">
        <f t="shared" si="9"/>
        <v>0</v>
      </c>
      <c r="O44" s="26"/>
      <c r="P44" s="26">
        <f>'PL26'!T42</f>
        <v>0</v>
      </c>
      <c r="Q44" s="26"/>
      <c r="R44" s="663"/>
      <c r="S44" s="663"/>
    </row>
    <row r="45" spans="1:19" s="36" customFormat="1" ht="18.75">
      <c r="A45" s="27" t="s">
        <v>167</v>
      </c>
      <c r="B45" s="28" t="s">
        <v>168</v>
      </c>
      <c r="C45" s="26">
        <f t="shared" si="7"/>
        <v>6792</v>
      </c>
      <c r="D45" s="26"/>
      <c r="E45" s="26">
        <f>'PL26'!D43</f>
        <v>5934</v>
      </c>
      <c r="F45" s="26"/>
      <c r="G45" s="26"/>
      <c r="H45" s="26"/>
      <c r="I45" s="26"/>
      <c r="J45" s="26"/>
      <c r="K45" s="26">
        <f t="shared" si="8"/>
        <v>858</v>
      </c>
      <c r="L45" s="26"/>
      <c r="M45" s="26">
        <f>'PL26'!U43</f>
        <v>858</v>
      </c>
      <c r="N45" s="26">
        <f t="shared" si="9"/>
        <v>0</v>
      </c>
      <c r="O45" s="26"/>
      <c r="P45" s="26">
        <f>'PL26'!T43</f>
        <v>0</v>
      </c>
      <c r="Q45" s="26"/>
      <c r="R45" s="663"/>
      <c r="S45" s="663"/>
    </row>
    <row r="46" spans="1:19" s="36" customFormat="1" ht="18.75">
      <c r="A46" s="27" t="s">
        <v>169</v>
      </c>
      <c r="B46" s="28" t="s">
        <v>170</v>
      </c>
      <c r="C46" s="26">
        <f t="shared" si="7"/>
        <v>11426</v>
      </c>
      <c r="D46" s="26"/>
      <c r="E46" s="26">
        <f>'PL26'!D44</f>
        <v>11226</v>
      </c>
      <c r="F46" s="26"/>
      <c r="G46" s="26"/>
      <c r="H46" s="26"/>
      <c r="I46" s="26"/>
      <c r="J46" s="26"/>
      <c r="K46" s="26">
        <f t="shared" si="8"/>
        <v>200</v>
      </c>
      <c r="L46" s="26"/>
      <c r="M46" s="26">
        <f>'PL26'!U44</f>
        <v>200</v>
      </c>
      <c r="N46" s="26">
        <f t="shared" si="9"/>
        <v>0</v>
      </c>
      <c r="O46" s="26"/>
      <c r="P46" s="26">
        <f>'PL26'!T44</f>
        <v>0</v>
      </c>
      <c r="Q46" s="26"/>
      <c r="R46" s="663"/>
      <c r="S46" s="663"/>
    </row>
    <row r="47" spans="1:19" s="36" customFormat="1" ht="18.75">
      <c r="A47" s="27" t="s">
        <v>171</v>
      </c>
      <c r="B47" s="28" t="s">
        <v>172</v>
      </c>
      <c r="C47" s="26">
        <f t="shared" si="7"/>
        <v>14356</v>
      </c>
      <c r="D47" s="26"/>
      <c r="E47" s="26">
        <f>'PL26'!D45</f>
        <v>7330</v>
      </c>
      <c r="F47" s="26"/>
      <c r="G47" s="26"/>
      <c r="H47" s="26"/>
      <c r="I47" s="26"/>
      <c r="J47" s="26"/>
      <c r="K47" s="26">
        <f t="shared" si="8"/>
        <v>6767</v>
      </c>
      <c r="L47" s="26"/>
      <c r="M47" s="26">
        <f>'PL26'!U45</f>
        <v>6767</v>
      </c>
      <c r="N47" s="26">
        <f t="shared" si="9"/>
        <v>259</v>
      </c>
      <c r="O47" s="26"/>
      <c r="P47" s="26">
        <f>'PL26'!T45</f>
        <v>259</v>
      </c>
      <c r="Q47" s="26"/>
      <c r="R47" s="663"/>
      <c r="S47" s="663"/>
    </row>
    <row r="48" spans="1:19" s="36" customFormat="1" ht="18.75">
      <c r="A48" s="27" t="s">
        <v>173</v>
      </c>
      <c r="B48" s="28" t="s">
        <v>174</v>
      </c>
      <c r="C48" s="26">
        <f t="shared" si="7"/>
        <v>60016</v>
      </c>
      <c r="D48" s="26"/>
      <c r="E48" s="26">
        <f>'PL26'!D46</f>
        <v>58699</v>
      </c>
      <c r="F48" s="26"/>
      <c r="G48" s="26"/>
      <c r="H48" s="26"/>
      <c r="I48" s="26"/>
      <c r="J48" s="26"/>
      <c r="K48" s="26">
        <f t="shared" si="8"/>
        <v>1317</v>
      </c>
      <c r="L48" s="26"/>
      <c r="M48" s="26">
        <f>'PL26'!U46</f>
        <v>1317</v>
      </c>
      <c r="N48" s="26">
        <f t="shared" si="9"/>
        <v>0</v>
      </c>
      <c r="O48" s="26"/>
      <c r="P48" s="26"/>
      <c r="Q48" s="26"/>
      <c r="R48" s="663"/>
      <c r="S48" s="663"/>
    </row>
    <row r="49" spans="1:19" s="36" customFormat="1" ht="18.75">
      <c r="A49" s="27" t="s">
        <v>175</v>
      </c>
      <c r="B49" s="28" t="s">
        <v>176</v>
      </c>
      <c r="C49" s="26">
        <f t="shared" si="7"/>
        <v>71811</v>
      </c>
      <c r="D49" s="26">
        <f>PL25_TCDT!C43</f>
        <v>25368</v>
      </c>
      <c r="E49" s="26">
        <f>'PL26'!D47</f>
        <v>46443</v>
      </c>
      <c r="F49" s="26"/>
      <c r="G49" s="26"/>
      <c r="H49" s="26"/>
      <c r="I49" s="26"/>
      <c r="J49" s="26"/>
      <c r="K49" s="26">
        <f t="shared" si="8"/>
        <v>0</v>
      </c>
      <c r="L49" s="26"/>
      <c r="M49" s="26">
        <f>'PL26'!U47</f>
        <v>0</v>
      </c>
      <c r="N49" s="26">
        <f t="shared" si="9"/>
        <v>0</v>
      </c>
      <c r="O49" s="26"/>
      <c r="P49" s="26"/>
      <c r="Q49" s="26"/>
      <c r="R49" s="663"/>
      <c r="S49" s="663"/>
    </row>
    <row r="50" spans="1:19" s="36" customFormat="1" ht="18.75">
      <c r="A50" s="27" t="s">
        <v>177</v>
      </c>
      <c r="B50" s="28" t="s">
        <v>178</v>
      </c>
      <c r="C50" s="26">
        <f t="shared" si="7"/>
        <v>31042</v>
      </c>
      <c r="D50" s="26"/>
      <c r="E50" s="26">
        <f>'PL26'!D48</f>
        <v>31042</v>
      </c>
      <c r="F50" s="26"/>
      <c r="G50" s="26"/>
      <c r="H50" s="26"/>
      <c r="I50" s="26"/>
      <c r="J50" s="26"/>
      <c r="K50" s="26">
        <f t="shared" si="8"/>
        <v>0</v>
      </c>
      <c r="L50" s="26"/>
      <c r="M50" s="26">
        <f>'PL26'!U48</f>
        <v>0</v>
      </c>
      <c r="N50" s="26">
        <f t="shared" si="9"/>
        <v>0</v>
      </c>
      <c r="O50" s="26"/>
      <c r="P50" s="26"/>
      <c r="Q50" s="26"/>
      <c r="R50" s="663"/>
      <c r="S50" s="663"/>
    </row>
    <row r="51" spans="1:19" s="36" customFormat="1" ht="56.25">
      <c r="A51" s="27" t="s">
        <v>179</v>
      </c>
      <c r="B51" s="28" t="s">
        <v>180</v>
      </c>
      <c r="C51" s="26">
        <f t="shared" si="7"/>
        <v>34115.352999999996</v>
      </c>
      <c r="D51" s="26">
        <f>PL25_TCDT!C28</f>
        <v>34115.352999999996</v>
      </c>
      <c r="E51" s="26"/>
      <c r="F51" s="26"/>
      <c r="G51" s="26"/>
      <c r="H51" s="26"/>
      <c r="I51" s="26"/>
      <c r="J51" s="26"/>
      <c r="K51" s="26">
        <f t="shared" si="8"/>
        <v>0</v>
      </c>
      <c r="L51" s="26"/>
      <c r="M51" s="26"/>
      <c r="N51" s="26"/>
      <c r="O51" s="26"/>
      <c r="P51" s="26"/>
      <c r="Q51" s="26"/>
      <c r="R51" s="663"/>
      <c r="S51" s="663"/>
    </row>
    <row r="52" spans="1:19" s="36" customFormat="1" ht="37.5">
      <c r="A52" s="27" t="s">
        <v>181</v>
      </c>
      <c r="B52" s="28" t="s">
        <v>182</v>
      </c>
      <c r="C52" s="26">
        <f t="shared" si="7"/>
        <v>5595.15</v>
      </c>
      <c r="D52" s="26">
        <f>PL25_TCDT!C44</f>
        <v>5595.15</v>
      </c>
      <c r="E52" s="26"/>
      <c r="F52" s="26"/>
      <c r="G52" s="26"/>
      <c r="H52" s="26"/>
      <c r="I52" s="26"/>
      <c r="J52" s="26"/>
      <c r="K52" s="26">
        <f t="shared" si="8"/>
        <v>0</v>
      </c>
      <c r="L52" s="26"/>
      <c r="M52" s="26"/>
      <c r="N52" s="26"/>
      <c r="O52" s="26"/>
      <c r="P52" s="26"/>
      <c r="Q52" s="26"/>
      <c r="R52" s="663"/>
      <c r="S52" s="663"/>
    </row>
    <row r="53" spans="1:19" s="36" customFormat="1" ht="37.5">
      <c r="A53" s="27" t="s">
        <v>183</v>
      </c>
      <c r="B53" s="28" t="s">
        <v>184</v>
      </c>
      <c r="C53" s="26">
        <f t="shared" si="7"/>
        <v>15546.080599999999</v>
      </c>
      <c r="D53" s="26">
        <f>PL25_TCDT!C34</f>
        <v>15546.080599999999</v>
      </c>
      <c r="E53" s="26"/>
      <c r="F53" s="26"/>
      <c r="G53" s="26"/>
      <c r="H53" s="26"/>
      <c r="I53" s="26"/>
      <c r="J53" s="26"/>
      <c r="K53" s="26">
        <f t="shared" si="8"/>
        <v>0</v>
      </c>
      <c r="L53" s="26"/>
      <c r="M53" s="26"/>
      <c r="N53" s="26"/>
      <c r="O53" s="26"/>
      <c r="P53" s="26"/>
      <c r="Q53" s="26"/>
      <c r="R53" s="663"/>
      <c r="S53" s="663"/>
    </row>
    <row r="54" spans="1:19" s="36" customFormat="1" ht="18.75">
      <c r="A54" s="27" t="s">
        <v>185</v>
      </c>
      <c r="B54" s="28" t="s">
        <v>186</v>
      </c>
      <c r="C54" s="26">
        <f t="shared" si="7"/>
        <v>24972.345000000001</v>
      </c>
      <c r="D54" s="26">
        <f>PL25_TCDT!C31</f>
        <v>24972.345000000001</v>
      </c>
      <c r="E54" s="26"/>
      <c r="F54" s="26"/>
      <c r="G54" s="26"/>
      <c r="H54" s="26"/>
      <c r="I54" s="26"/>
      <c r="J54" s="26"/>
      <c r="K54" s="26">
        <f t="shared" si="8"/>
        <v>0</v>
      </c>
      <c r="L54" s="26"/>
      <c r="M54" s="26"/>
      <c r="N54" s="26"/>
      <c r="O54" s="26"/>
      <c r="P54" s="26"/>
      <c r="Q54" s="26"/>
      <c r="R54" s="663"/>
      <c r="S54" s="663"/>
    </row>
    <row r="55" spans="1:19" s="36" customFormat="1" ht="18.75">
      <c r="A55" s="27" t="s">
        <v>187</v>
      </c>
      <c r="B55" s="28" t="s">
        <v>855</v>
      </c>
      <c r="C55" s="26">
        <f t="shared" si="7"/>
        <v>12958</v>
      </c>
      <c r="D55" s="26">
        <f>PL25_TCDT!C46</f>
        <v>12958</v>
      </c>
      <c r="E55" s="26"/>
      <c r="F55" s="26"/>
      <c r="G55" s="26"/>
      <c r="H55" s="26"/>
      <c r="I55" s="26"/>
      <c r="J55" s="26"/>
      <c r="K55" s="26">
        <f t="shared" si="8"/>
        <v>0</v>
      </c>
      <c r="L55" s="26"/>
      <c r="M55" s="26"/>
      <c r="N55" s="26"/>
      <c r="O55" s="26"/>
      <c r="P55" s="26"/>
      <c r="Q55" s="26"/>
      <c r="R55" s="663"/>
      <c r="S55" s="663"/>
    </row>
    <row r="56" spans="1:19" s="36" customFormat="1" ht="18.75">
      <c r="A56" s="27" t="s">
        <v>189</v>
      </c>
      <c r="B56" s="28" t="s">
        <v>192</v>
      </c>
      <c r="C56" s="26">
        <f t="shared" si="7"/>
        <v>16869.978880000002</v>
      </c>
      <c r="D56" s="26">
        <f>PL25_TCDT!C47</f>
        <v>16869.978880000002</v>
      </c>
      <c r="E56" s="26"/>
      <c r="F56" s="26"/>
      <c r="G56" s="26"/>
      <c r="H56" s="26"/>
      <c r="I56" s="26"/>
      <c r="J56" s="26"/>
      <c r="K56" s="26">
        <f t="shared" si="8"/>
        <v>0</v>
      </c>
      <c r="L56" s="26"/>
      <c r="M56" s="26"/>
      <c r="N56" s="26"/>
      <c r="O56" s="26"/>
      <c r="P56" s="26"/>
      <c r="Q56" s="26"/>
      <c r="R56" s="663"/>
      <c r="S56" s="663"/>
    </row>
    <row r="57" spans="1:19" s="36" customFormat="1" ht="18.75">
      <c r="A57" s="27" t="s">
        <v>191</v>
      </c>
      <c r="B57" s="28" t="s">
        <v>857</v>
      </c>
      <c r="C57" s="26">
        <f t="shared" si="7"/>
        <v>10000</v>
      </c>
      <c r="D57" s="26">
        <f>PL25_TCDT!C49</f>
        <v>10000</v>
      </c>
      <c r="E57" s="26"/>
      <c r="F57" s="26"/>
      <c r="G57" s="26"/>
      <c r="H57" s="26"/>
      <c r="I57" s="26"/>
      <c r="J57" s="26"/>
      <c r="K57" s="26">
        <f t="shared" si="8"/>
        <v>0</v>
      </c>
      <c r="L57" s="26"/>
      <c r="M57" s="26"/>
      <c r="N57" s="26"/>
      <c r="O57" s="26"/>
      <c r="P57" s="26"/>
      <c r="Q57" s="26"/>
      <c r="R57" s="663"/>
      <c r="S57" s="663"/>
    </row>
    <row r="58" spans="1:19" s="36" customFormat="1" ht="18.75">
      <c r="A58" s="27" t="s">
        <v>193</v>
      </c>
      <c r="B58" s="28" t="s">
        <v>190</v>
      </c>
      <c r="C58" s="26">
        <f t="shared" si="7"/>
        <v>39217.209026999997</v>
      </c>
      <c r="D58" s="26">
        <f>PL25_TCDT!C50</f>
        <v>39217.209026999997</v>
      </c>
      <c r="E58" s="26"/>
      <c r="F58" s="26"/>
      <c r="G58" s="26"/>
      <c r="H58" s="26"/>
      <c r="I58" s="26"/>
      <c r="J58" s="26"/>
      <c r="K58" s="26"/>
      <c r="L58" s="26"/>
      <c r="M58" s="26"/>
      <c r="N58" s="26"/>
      <c r="O58" s="26"/>
      <c r="P58" s="26"/>
      <c r="Q58" s="26"/>
      <c r="R58" s="663"/>
      <c r="S58" s="663"/>
    </row>
    <row r="59" spans="1:19" s="36" customFormat="1" ht="56.25">
      <c r="A59" s="27" t="s">
        <v>860</v>
      </c>
      <c r="B59" s="28" t="s">
        <v>194</v>
      </c>
      <c r="C59" s="26">
        <f t="shared" si="7"/>
        <v>173555</v>
      </c>
      <c r="D59" s="26"/>
      <c r="E59" s="26"/>
      <c r="F59" s="26"/>
      <c r="G59" s="26"/>
      <c r="H59" s="26"/>
      <c r="I59" s="26"/>
      <c r="J59" s="26"/>
      <c r="K59" s="26">
        <f t="shared" si="8"/>
        <v>0</v>
      </c>
      <c r="L59" s="26"/>
      <c r="M59" s="26"/>
      <c r="N59" s="26">
        <f>O59+P59</f>
        <v>173555</v>
      </c>
      <c r="O59" s="26"/>
      <c r="P59" s="26">
        <f>'PL22'!F43-'PL24'!P14-SUM('PL24'!P33:P58)-'PL24'!P60-'PL24'!P106</f>
        <v>173555</v>
      </c>
      <c r="Q59" s="26"/>
      <c r="R59" s="663" t="s">
        <v>1115</v>
      </c>
      <c r="S59" s="663"/>
    </row>
    <row r="60" spans="1:19" s="35" customFormat="1" ht="37.5">
      <c r="A60" s="38">
        <v>3</v>
      </c>
      <c r="B60" s="39" t="s">
        <v>195</v>
      </c>
      <c r="C60" s="24">
        <f>SUM(C61:C77)+C78+C79+C80+C94+C95+C96</f>
        <v>407435</v>
      </c>
      <c r="D60" s="24">
        <f t="shared" ref="D60:Q60" si="11">SUM(D61:D77)+D78+D79+D80+D94+D95+D96</f>
        <v>0</v>
      </c>
      <c r="E60" s="24">
        <f t="shared" si="11"/>
        <v>348164</v>
      </c>
      <c r="F60" s="24">
        <f t="shared" si="11"/>
        <v>0</v>
      </c>
      <c r="G60" s="24">
        <f t="shared" si="11"/>
        <v>0</v>
      </c>
      <c r="H60" s="24">
        <f t="shared" si="11"/>
        <v>0</v>
      </c>
      <c r="I60" s="24">
        <f t="shared" si="11"/>
        <v>0</v>
      </c>
      <c r="J60" s="24">
        <f t="shared" si="11"/>
        <v>0</v>
      </c>
      <c r="K60" s="24">
        <f t="shared" si="11"/>
        <v>824</v>
      </c>
      <c r="L60" s="24">
        <f t="shared" si="11"/>
        <v>0</v>
      </c>
      <c r="M60" s="24">
        <f t="shared" si="11"/>
        <v>824</v>
      </c>
      <c r="N60" s="24">
        <f t="shared" si="11"/>
        <v>58447</v>
      </c>
      <c r="O60" s="24">
        <f t="shared" si="11"/>
        <v>0</v>
      </c>
      <c r="P60" s="24">
        <f t="shared" si="11"/>
        <v>58447</v>
      </c>
      <c r="Q60" s="24">
        <f t="shared" si="11"/>
        <v>0</v>
      </c>
      <c r="R60" s="663"/>
      <c r="S60" s="663"/>
    </row>
    <row r="61" spans="1:19" s="36" customFormat="1" ht="18.75">
      <c r="A61" s="27" t="s">
        <v>196</v>
      </c>
      <c r="B61" s="28" t="s">
        <v>197</v>
      </c>
      <c r="C61" s="26">
        <f t="shared" si="7"/>
        <v>703</v>
      </c>
      <c r="D61" s="26"/>
      <c r="E61" s="26">
        <f>'PL26'!D50</f>
        <v>703</v>
      </c>
      <c r="F61" s="26"/>
      <c r="G61" s="26"/>
      <c r="H61" s="26"/>
      <c r="I61" s="26"/>
      <c r="J61" s="26"/>
      <c r="K61" s="26">
        <f t="shared" si="8"/>
        <v>0</v>
      </c>
      <c r="L61" s="26"/>
      <c r="M61" s="26"/>
      <c r="N61" s="26">
        <f t="shared" ref="N61:N96" si="12">O61+P61</f>
        <v>0</v>
      </c>
      <c r="O61" s="26"/>
      <c r="P61" s="26"/>
      <c r="Q61" s="26"/>
      <c r="R61" s="663"/>
      <c r="S61" s="663"/>
    </row>
    <row r="62" spans="1:19" s="36" customFormat="1" ht="18.75">
      <c r="A62" s="27" t="s">
        <v>198</v>
      </c>
      <c r="B62" s="28" t="s">
        <v>199</v>
      </c>
      <c r="C62" s="26">
        <f t="shared" si="7"/>
        <v>589</v>
      </c>
      <c r="D62" s="26"/>
      <c r="E62" s="26">
        <f>'PL26'!D51</f>
        <v>589</v>
      </c>
      <c r="F62" s="26"/>
      <c r="G62" s="26"/>
      <c r="H62" s="26"/>
      <c r="I62" s="26"/>
      <c r="J62" s="26"/>
      <c r="K62" s="26">
        <f t="shared" si="8"/>
        <v>0</v>
      </c>
      <c r="L62" s="26"/>
      <c r="M62" s="26"/>
      <c r="N62" s="26">
        <f t="shared" si="12"/>
        <v>0</v>
      </c>
      <c r="O62" s="26"/>
      <c r="P62" s="26"/>
      <c r="Q62" s="26"/>
      <c r="R62" s="663"/>
      <c r="S62" s="663"/>
    </row>
    <row r="63" spans="1:19" s="36" customFormat="1" ht="37.5">
      <c r="A63" s="27" t="s">
        <v>200</v>
      </c>
      <c r="B63" s="28" t="s">
        <v>201</v>
      </c>
      <c r="C63" s="26">
        <f t="shared" si="7"/>
        <v>439</v>
      </c>
      <c r="D63" s="26"/>
      <c r="E63" s="26">
        <f>'PL26'!D52</f>
        <v>439</v>
      </c>
      <c r="F63" s="26"/>
      <c r="G63" s="26"/>
      <c r="H63" s="26"/>
      <c r="I63" s="26"/>
      <c r="J63" s="26"/>
      <c r="K63" s="26">
        <f t="shared" si="8"/>
        <v>0</v>
      </c>
      <c r="L63" s="26"/>
      <c r="M63" s="26"/>
      <c r="N63" s="26">
        <f t="shared" si="12"/>
        <v>0</v>
      </c>
      <c r="O63" s="26"/>
      <c r="P63" s="26"/>
      <c r="Q63" s="26"/>
      <c r="R63" s="663"/>
      <c r="S63" s="663"/>
    </row>
    <row r="64" spans="1:19" s="36" customFormat="1" ht="18.75">
      <c r="A64" s="27" t="s">
        <v>202</v>
      </c>
      <c r="B64" s="28" t="s">
        <v>203</v>
      </c>
      <c r="C64" s="26">
        <f t="shared" si="7"/>
        <v>541</v>
      </c>
      <c r="D64" s="26"/>
      <c r="E64" s="26">
        <f>'PL26'!D53</f>
        <v>541</v>
      </c>
      <c r="F64" s="26"/>
      <c r="G64" s="26"/>
      <c r="H64" s="26"/>
      <c r="I64" s="26"/>
      <c r="J64" s="26"/>
      <c r="K64" s="26">
        <f t="shared" si="8"/>
        <v>0</v>
      </c>
      <c r="L64" s="26"/>
      <c r="M64" s="26"/>
      <c r="N64" s="26">
        <f t="shared" si="12"/>
        <v>0</v>
      </c>
      <c r="O64" s="26"/>
      <c r="P64" s="26"/>
      <c r="Q64" s="26"/>
      <c r="R64" s="663"/>
      <c r="S64" s="663"/>
    </row>
    <row r="65" spans="1:19" s="36" customFormat="1" ht="18.75">
      <c r="A65" s="27" t="s">
        <v>204</v>
      </c>
      <c r="B65" s="28" t="s">
        <v>205</v>
      </c>
      <c r="C65" s="26">
        <f t="shared" si="7"/>
        <v>81</v>
      </c>
      <c r="D65" s="26"/>
      <c r="E65" s="26">
        <f>'PL26'!D54</f>
        <v>81</v>
      </c>
      <c r="F65" s="26"/>
      <c r="G65" s="26"/>
      <c r="H65" s="26"/>
      <c r="I65" s="26"/>
      <c r="J65" s="26"/>
      <c r="K65" s="26">
        <f t="shared" si="8"/>
        <v>0</v>
      </c>
      <c r="L65" s="26"/>
      <c r="M65" s="26"/>
      <c r="N65" s="26">
        <f t="shared" si="12"/>
        <v>0</v>
      </c>
      <c r="O65" s="26"/>
      <c r="P65" s="26"/>
      <c r="Q65" s="26"/>
      <c r="R65" s="663"/>
      <c r="S65" s="663"/>
    </row>
    <row r="66" spans="1:19" s="36" customFormat="1" ht="18.75">
      <c r="A66" s="27" t="s">
        <v>206</v>
      </c>
      <c r="B66" s="28" t="s">
        <v>207</v>
      </c>
      <c r="C66" s="26">
        <f t="shared" si="7"/>
        <v>1328</v>
      </c>
      <c r="D66" s="26"/>
      <c r="E66" s="26">
        <f>'PL26'!D55</f>
        <v>1328</v>
      </c>
      <c r="F66" s="26"/>
      <c r="G66" s="26"/>
      <c r="H66" s="26"/>
      <c r="I66" s="26"/>
      <c r="J66" s="26"/>
      <c r="K66" s="26">
        <f t="shared" si="8"/>
        <v>0</v>
      </c>
      <c r="L66" s="26"/>
      <c r="M66" s="26"/>
      <c r="N66" s="26">
        <f t="shared" si="12"/>
        <v>0</v>
      </c>
      <c r="O66" s="26"/>
      <c r="P66" s="26"/>
      <c r="Q66" s="26"/>
      <c r="R66" s="663"/>
      <c r="S66" s="663"/>
    </row>
    <row r="67" spans="1:19" s="36" customFormat="1" ht="18.75">
      <c r="A67" s="27" t="s">
        <v>208</v>
      </c>
      <c r="B67" s="28" t="s">
        <v>209</v>
      </c>
      <c r="C67" s="26">
        <f t="shared" si="7"/>
        <v>2945</v>
      </c>
      <c r="D67" s="26"/>
      <c r="E67" s="26">
        <f>'PL26'!D56</f>
        <v>2945</v>
      </c>
      <c r="F67" s="26"/>
      <c r="G67" s="26"/>
      <c r="H67" s="26"/>
      <c r="I67" s="26"/>
      <c r="J67" s="26"/>
      <c r="K67" s="26">
        <f t="shared" si="8"/>
        <v>0</v>
      </c>
      <c r="L67" s="26"/>
      <c r="M67" s="26"/>
      <c r="N67" s="26">
        <f t="shared" si="12"/>
        <v>0</v>
      </c>
      <c r="O67" s="26"/>
      <c r="P67" s="26"/>
      <c r="Q67" s="26"/>
      <c r="R67" s="663"/>
      <c r="S67" s="663"/>
    </row>
    <row r="68" spans="1:19" s="36" customFormat="1" ht="18.75">
      <c r="A68" s="27" t="s">
        <v>210</v>
      </c>
      <c r="B68" s="28" t="s">
        <v>211</v>
      </c>
      <c r="C68" s="26">
        <f t="shared" si="7"/>
        <v>577</v>
      </c>
      <c r="D68" s="26"/>
      <c r="E68" s="26">
        <f>'PL26'!D57</f>
        <v>577</v>
      </c>
      <c r="F68" s="26"/>
      <c r="G68" s="26"/>
      <c r="H68" s="26"/>
      <c r="I68" s="26"/>
      <c r="J68" s="26"/>
      <c r="K68" s="26">
        <f t="shared" si="8"/>
        <v>0</v>
      </c>
      <c r="L68" s="26"/>
      <c r="M68" s="26"/>
      <c r="N68" s="26">
        <f t="shared" si="12"/>
        <v>0</v>
      </c>
      <c r="O68" s="26"/>
      <c r="P68" s="26"/>
      <c r="Q68" s="26"/>
      <c r="R68" s="663"/>
      <c r="S68" s="663"/>
    </row>
    <row r="69" spans="1:19" s="36" customFormat="1" ht="18.75">
      <c r="A69" s="27" t="s">
        <v>212</v>
      </c>
      <c r="B69" s="28" t="s">
        <v>213</v>
      </c>
      <c r="C69" s="26">
        <f t="shared" si="7"/>
        <v>1564</v>
      </c>
      <c r="D69" s="26"/>
      <c r="E69" s="26">
        <f>'PL26'!D58</f>
        <v>1564</v>
      </c>
      <c r="F69" s="26"/>
      <c r="G69" s="26"/>
      <c r="H69" s="26"/>
      <c r="I69" s="26"/>
      <c r="J69" s="26"/>
      <c r="K69" s="26">
        <f t="shared" si="8"/>
        <v>0</v>
      </c>
      <c r="L69" s="26"/>
      <c r="M69" s="26"/>
      <c r="N69" s="26">
        <f t="shared" si="12"/>
        <v>0</v>
      </c>
      <c r="O69" s="26"/>
      <c r="P69" s="26"/>
      <c r="Q69" s="26"/>
      <c r="R69" s="663"/>
      <c r="S69" s="663"/>
    </row>
    <row r="70" spans="1:19" s="36" customFormat="1" ht="18.75">
      <c r="A70" s="27" t="s">
        <v>214</v>
      </c>
      <c r="B70" s="28" t="s">
        <v>215</v>
      </c>
      <c r="C70" s="26">
        <f t="shared" si="7"/>
        <v>22</v>
      </c>
      <c r="D70" s="26"/>
      <c r="E70" s="26">
        <f>'PL26'!D59</f>
        <v>22</v>
      </c>
      <c r="F70" s="26"/>
      <c r="G70" s="26"/>
      <c r="H70" s="26"/>
      <c r="I70" s="26"/>
      <c r="J70" s="26"/>
      <c r="K70" s="26">
        <f t="shared" si="8"/>
        <v>0</v>
      </c>
      <c r="L70" s="26"/>
      <c r="M70" s="26"/>
      <c r="N70" s="26">
        <f t="shared" si="12"/>
        <v>0</v>
      </c>
      <c r="O70" s="26"/>
      <c r="P70" s="26"/>
      <c r="Q70" s="26"/>
      <c r="R70" s="663"/>
      <c r="S70" s="663"/>
    </row>
    <row r="71" spans="1:19" s="36" customFormat="1" ht="18.75">
      <c r="A71" s="27" t="s">
        <v>216</v>
      </c>
      <c r="B71" s="28" t="s">
        <v>217</v>
      </c>
      <c r="C71" s="26">
        <f t="shared" si="7"/>
        <v>18</v>
      </c>
      <c r="D71" s="26"/>
      <c r="E71" s="26">
        <f>'PL26'!D60</f>
        <v>18</v>
      </c>
      <c r="F71" s="26"/>
      <c r="G71" s="26"/>
      <c r="H71" s="26"/>
      <c r="I71" s="26"/>
      <c r="J71" s="26"/>
      <c r="K71" s="26">
        <f t="shared" si="8"/>
        <v>0</v>
      </c>
      <c r="L71" s="26"/>
      <c r="M71" s="26"/>
      <c r="N71" s="26">
        <f t="shared" si="12"/>
        <v>0</v>
      </c>
      <c r="O71" s="26"/>
      <c r="P71" s="26"/>
      <c r="Q71" s="26"/>
      <c r="R71" s="663"/>
      <c r="S71" s="663"/>
    </row>
    <row r="72" spans="1:19" s="36" customFormat="1" ht="18.75">
      <c r="A72" s="27" t="s">
        <v>218</v>
      </c>
      <c r="B72" s="28" t="s">
        <v>219</v>
      </c>
      <c r="C72" s="26">
        <f t="shared" si="7"/>
        <v>131</v>
      </c>
      <c r="D72" s="26"/>
      <c r="E72" s="26">
        <f>'PL26'!D61</f>
        <v>131</v>
      </c>
      <c r="F72" s="26"/>
      <c r="G72" s="26"/>
      <c r="H72" s="26"/>
      <c r="I72" s="26"/>
      <c r="J72" s="26"/>
      <c r="K72" s="26">
        <f t="shared" si="8"/>
        <v>0</v>
      </c>
      <c r="L72" s="26"/>
      <c r="M72" s="26"/>
      <c r="N72" s="26">
        <f t="shared" si="12"/>
        <v>0</v>
      </c>
      <c r="O72" s="26"/>
      <c r="P72" s="26"/>
      <c r="Q72" s="26"/>
      <c r="R72" s="663"/>
      <c r="S72" s="663"/>
    </row>
    <row r="73" spans="1:19" s="36" customFormat="1" ht="18.75">
      <c r="A73" s="27" t="s">
        <v>220</v>
      </c>
      <c r="B73" s="28" t="s">
        <v>221</v>
      </c>
      <c r="C73" s="26">
        <f t="shared" si="7"/>
        <v>333</v>
      </c>
      <c r="D73" s="26"/>
      <c r="E73" s="26">
        <f>'PL26'!D62</f>
        <v>333</v>
      </c>
      <c r="F73" s="26"/>
      <c r="G73" s="26"/>
      <c r="H73" s="26"/>
      <c r="I73" s="26"/>
      <c r="J73" s="26"/>
      <c r="K73" s="26">
        <f t="shared" si="8"/>
        <v>0</v>
      </c>
      <c r="L73" s="26"/>
      <c r="M73" s="26"/>
      <c r="N73" s="26">
        <f t="shared" si="12"/>
        <v>0</v>
      </c>
      <c r="O73" s="26"/>
      <c r="P73" s="26"/>
      <c r="Q73" s="26"/>
      <c r="R73" s="663"/>
      <c r="S73" s="663"/>
    </row>
    <row r="74" spans="1:19" s="36" customFormat="1" ht="18.75">
      <c r="A74" s="27" t="s">
        <v>222</v>
      </c>
      <c r="B74" s="28" t="s">
        <v>223</v>
      </c>
      <c r="C74" s="26">
        <f t="shared" si="7"/>
        <v>2636</v>
      </c>
      <c r="D74" s="26"/>
      <c r="E74" s="26">
        <f>'PL26'!D63</f>
        <v>2611</v>
      </c>
      <c r="F74" s="26"/>
      <c r="G74" s="26"/>
      <c r="H74" s="26"/>
      <c r="I74" s="26"/>
      <c r="J74" s="26"/>
      <c r="K74" s="26">
        <f t="shared" si="8"/>
        <v>0</v>
      </c>
      <c r="L74" s="26"/>
      <c r="M74" s="26"/>
      <c r="N74" s="26">
        <f t="shared" si="12"/>
        <v>25</v>
      </c>
      <c r="O74" s="26"/>
      <c r="P74" s="26">
        <f>'PL26'!T63</f>
        <v>25</v>
      </c>
      <c r="Q74" s="26"/>
      <c r="R74" s="663"/>
      <c r="S74" s="663"/>
    </row>
    <row r="75" spans="1:19" s="36" customFormat="1" ht="18.75">
      <c r="A75" s="27" t="s">
        <v>224</v>
      </c>
      <c r="B75" s="28" t="s">
        <v>225</v>
      </c>
      <c r="C75" s="26">
        <f t="shared" si="7"/>
        <v>4024</v>
      </c>
      <c r="D75" s="26"/>
      <c r="E75" s="26">
        <f>'PL26'!D64</f>
        <v>3200</v>
      </c>
      <c r="F75" s="26"/>
      <c r="G75" s="26"/>
      <c r="H75" s="26"/>
      <c r="I75" s="26"/>
      <c r="J75" s="26"/>
      <c r="K75" s="26">
        <f t="shared" si="8"/>
        <v>824</v>
      </c>
      <c r="L75" s="26"/>
      <c r="M75" s="26">
        <f>'PL26'!U64</f>
        <v>824</v>
      </c>
      <c r="N75" s="26">
        <f t="shared" si="12"/>
        <v>0</v>
      </c>
      <c r="O75" s="26"/>
      <c r="P75" s="26"/>
      <c r="Q75" s="26"/>
      <c r="R75" s="663"/>
      <c r="S75" s="663"/>
    </row>
    <row r="76" spans="1:19" s="36" customFormat="1" ht="18.75">
      <c r="A76" s="27" t="s">
        <v>226</v>
      </c>
      <c r="B76" s="28" t="s">
        <v>227</v>
      </c>
      <c r="C76" s="26">
        <f t="shared" si="7"/>
        <v>76</v>
      </c>
      <c r="D76" s="26"/>
      <c r="E76" s="26">
        <f>'PL26'!D65</f>
        <v>76</v>
      </c>
      <c r="F76" s="26"/>
      <c r="G76" s="26"/>
      <c r="H76" s="26"/>
      <c r="I76" s="26"/>
      <c r="J76" s="26"/>
      <c r="K76" s="26">
        <f t="shared" si="8"/>
        <v>0</v>
      </c>
      <c r="L76" s="26"/>
      <c r="M76" s="26"/>
      <c r="N76" s="26">
        <f t="shared" si="12"/>
        <v>0</v>
      </c>
      <c r="O76" s="26"/>
      <c r="P76" s="26"/>
      <c r="Q76" s="26"/>
      <c r="R76" s="663"/>
      <c r="S76" s="663"/>
    </row>
    <row r="77" spans="1:19" s="36" customFormat="1" ht="18.75">
      <c r="A77" s="27" t="s">
        <v>228</v>
      </c>
      <c r="B77" s="28" t="s">
        <v>229</v>
      </c>
      <c r="C77" s="26">
        <f t="shared" si="7"/>
        <v>31</v>
      </c>
      <c r="D77" s="26"/>
      <c r="E77" s="26">
        <f>'PL26'!D66</f>
        <v>31</v>
      </c>
      <c r="F77" s="26"/>
      <c r="G77" s="26"/>
      <c r="H77" s="26"/>
      <c r="I77" s="26"/>
      <c r="J77" s="26"/>
      <c r="K77" s="26">
        <f t="shared" si="8"/>
        <v>0</v>
      </c>
      <c r="L77" s="26"/>
      <c r="M77" s="26"/>
      <c r="N77" s="26">
        <f t="shared" si="12"/>
        <v>0</v>
      </c>
      <c r="O77" s="26"/>
      <c r="P77" s="26"/>
      <c r="Q77" s="26"/>
      <c r="R77" s="663"/>
      <c r="S77" s="663"/>
    </row>
    <row r="78" spans="1:19" s="36" customFormat="1" ht="18.75">
      <c r="A78" s="27" t="s">
        <v>230</v>
      </c>
      <c r="B78" s="28" t="s">
        <v>231</v>
      </c>
      <c r="C78" s="26">
        <f t="shared" si="7"/>
        <v>135</v>
      </c>
      <c r="D78" s="26"/>
      <c r="E78" s="26">
        <f>'PL26'!D67</f>
        <v>135</v>
      </c>
      <c r="F78" s="26"/>
      <c r="G78" s="26"/>
      <c r="H78" s="26"/>
      <c r="I78" s="26"/>
      <c r="J78" s="26"/>
      <c r="K78" s="26">
        <f t="shared" si="8"/>
        <v>0</v>
      </c>
      <c r="L78" s="26"/>
      <c r="M78" s="26"/>
      <c r="N78" s="26">
        <f t="shared" si="12"/>
        <v>0</v>
      </c>
      <c r="O78" s="26"/>
      <c r="P78" s="26"/>
      <c r="Q78" s="26"/>
      <c r="R78" s="663"/>
      <c r="S78" s="663"/>
    </row>
    <row r="79" spans="1:19" s="36" customFormat="1" ht="18.75">
      <c r="A79" s="27" t="s">
        <v>232</v>
      </c>
      <c r="B79" s="28" t="s">
        <v>233</v>
      </c>
      <c r="C79" s="26">
        <f t="shared" si="7"/>
        <v>180</v>
      </c>
      <c r="D79" s="26"/>
      <c r="E79" s="26">
        <f>'PL26'!D68</f>
        <v>180</v>
      </c>
      <c r="F79" s="26"/>
      <c r="G79" s="26"/>
      <c r="H79" s="26"/>
      <c r="I79" s="26"/>
      <c r="J79" s="26"/>
      <c r="K79" s="26">
        <f t="shared" si="8"/>
        <v>0</v>
      </c>
      <c r="L79" s="26"/>
      <c r="M79" s="26"/>
      <c r="N79" s="26">
        <f t="shared" si="12"/>
        <v>0</v>
      </c>
      <c r="O79" s="26"/>
      <c r="P79" s="26"/>
      <c r="Q79" s="26"/>
      <c r="R79" s="663"/>
      <c r="S79" s="663"/>
    </row>
    <row r="80" spans="1:19" s="36" customFormat="1" ht="37.5">
      <c r="A80" s="27" t="s">
        <v>234</v>
      </c>
      <c r="B80" s="28" t="s">
        <v>235</v>
      </c>
      <c r="C80" s="26">
        <f t="shared" si="7"/>
        <v>25537</v>
      </c>
      <c r="D80" s="26"/>
      <c r="E80" s="26">
        <f>'PL26'!D69</f>
        <v>25537</v>
      </c>
      <c r="F80" s="26"/>
      <c r="G80" s="26"/>
      <c r="H80" s="26"/>
      <c r="I80" s="26"/>
      <c r="J80" s="26"/>
      <c r="K80" s="26">
        <f t="shared" ref="K80:K96" si="13">L80+M80</f>
        <v>0</v>
      </c>
      <c r="L80" s="26"/>
      <c r="M80" s="26"/>
      <c r="N80" s="26">
        <f t="shared" si="12"/>
        <v>0</v>
      </c>
      <c r="O80" s="26"/>
      <c r="P80" s="26"/>
      <c r="Q80" s="26"/>
      <c r="R80" s="663"/>
      <c r="S80" s="663"/>
    </row>
    <row r="81" spans="1:19" s="36" customFormat="1" ht="18.75">
      <c r="A81" s="27" t="s">
        <v>19</v>
      </c>
      <c r="B81" s="28" t="s">
        <v>236</v>
      </c>
      <c r="C81" s="26">
        <f t="shared" si="7"/>
        <v>207</v>
      </c>
      <c r="D81" s="26"/>
      <c r="E81" s="26">
        <f>'PL26'!D70</f>
        <v>207</v>
      </c>
      <c r="F81" s="26"/>
      <c r="G81" s="26"/>
      <c r="H81" s="26"/>
      <c r="I81" s="26"/>
      <c r="J81" s="26"/>
      <c r="K81" s="26">
        <f t="shared" si="13"/>
        <v>0</v>
      </c>
      <c r="L81" s="26"/>
      <c r="M81" s="26"/>
      <c r="N81" s="26">
        <f t="shared" si="12"/>
        <v>0</v>
      </c>
      <c r="O81" s="26"/>
      <c r="P81" s="26"/>
      <c r="Q81" s="26"/>
      <c r="R81" s="663"/>
      <c r="S81" s="663"/>
    </row>
    <row r="82" spans="1:19" s="36" customFormat="1" ht="18.75">
      <c r="A82" s="27" t="s">
        <v>19</v>
      </c>
      <c r="B82" s="28" t="s">
        <v>237</v>
      </c>
      <c r="C82" s="26">
        <f t="shared" ref="C82:C106" si="14">D82+E82+F82+G82+H82+I82+J82+K82+N82+Q82</f>
        <v>197</v>
      </c>
      <c r="D82" s="26"/>
      <c r="E82" s="26">
        <f>'PL26'!D71</f>
        <v>197</v>
      </c>
      <c r="F82" s="26"/>
      <c r="G82" s="26"/>
      <c r="H82" s="26"/>
      <c r="I82" s="26"/>
      <c r="J82" s="26"/>
      <c r="K82" s="26">
        <f t="shared" si="13"/>
        <v>0</v>
      </c>
      <c r="L82" s="26"/>
      <c r="M82" s="26"/>
      <c r="N82" s="26">
        <f t="shared" si="12"/>
        <v>0</v>
      </c>
      <c r="O82" s="26"/>
      <c r="P82" s="26"/>
      <c r="Q82" s="26"/>
      <c r="R82" s="663"/>
      <c r="S82" s="663"/>
    </row>
    <row r="83" spans="1:19" s="36" customFormat="1" ht="18.75">
      <c r="A83" s="27" t="s">
        <v>19</v>
      </c>
      <c r="B83" s="28" t="s">
        <v>238</v>
      </c>
      <c r="C83" s="26">
        <f t="shared" si="14"/>
        <v>203</v>
      </c>
      <c r="D83" s="26"/>
      <c r="E83" s="26">
        <f>'PL26'!D72</f>
        <v>203</v>
      </c>
      <c r="F83" s="26"/>
      <c r="G83" s="26"/>
      <c r="H83" s="26"/>
      <c r="I83" s="26"/>
      <c r="J83" s="26"/>
      <c r="K83" s="26">
        <f t="shared" si="13"/>
        <v>0</v>
      </c>
      <c r="L83" s="26"/>
      <c r="M83" s="26"/>
      <c r="N83" s="26">
        <f t="shared" si="12"/>
        <v>0</v>
      </c>
      <c r="O83" s="26"/>
      <c r="P83" s="26"/>
      <c r="Q83" s="26"/>
      <c r="R83" s="663"/>
      <c r="S83" s="663"/>
    </row>
    <row r="84" spans="1:19" s="36" customFormat="1" ht="18.75">
      <c r="A84" s="27" t="s">
        <v>19</v>
      </c>
      <c r="B84" s="28" t="s">
        <v>239</v>
      </c>
      <c r="C84" s="26">
        <f t="shared" si="14"/>
        <v>169</v>
      </c>
      <c r="D84" s="26"/>
      <c r="E84" s="26">
        <f>'PL26'!D73</f>
        <v>169</v>
      </c>
      <c r="F84" s="26"/>
      <c r="G84" s="26"/>
      <c r="H84" s="26"/>
      <c r="I84" s="26"/>
      <c r="J84" s="26"/>
      <c r="K84" s="26">
        <f t="shared" si="13"/>
        <v>0</v>
      </c>
      <c r="L84" s="26"/>
      <c r="M84" s="26"/>
      <c r="N84" s="26">
        <f t="shared" si="12"/>
        <v>0</v>
      </c>
      <c r="O84" s="26"/>
      <c r="P84" s="26"/>
      <c r="Q84" s="26"/>
      <c r="R84" s="663"/>
      <c r="S84" s="663"/>
    </row>
    <row r="85" spans="1:19" s="36" customFormat="1" ht="18.75">
      <c r="A85" s="27" t="s">
        <v>19</v>
      </c>
      <c r="B85" s="28" t="s">
        <v>240</v>
      </c>
      <c r="C85" s="26">
        <f t="shared" si="14"/>
        <v>110</v>
      </c>
      <c r="D85" s="26"/>
      <c r="E85" s="26">
        <f>'PL26'!D74</f>
        <v>110</v>
      </c>
      <c r="F85" s="26"/>
      <c r="G85" s="26"/>
      <c r="H85" s="26"/>
      <c r="I85" s="26"/>
      <c r="J85" s="26"/>
      <c r="K85" s="26">
        <f t="shared" si="13"/>
        <v>0</v>
      </c>
      <c r="L85" s="26"/>
      <c r="M85" s="26"/>
      <c r="N85" s="26">
        <f t="shared" si="12"/>
        <v>0</v>
      </c>
      <c r="O85" s="26"/>
      <c r="P85" s="26"/>
      <c r="Q85" s="26"/>
      <c r="R85" s="663"/>
      <c r="S85" s="663"/>
    </row>
    <row r="86" spans="1:19" s="36" customFormat="1" ht="18.75">
      <c r="A86" s="27" t="s">
        <v>19</v>
      </c>
      <c r="B86" s="28" t="s">
        <v>241</v>
      </c>
      <c r="C86" s="26">
        <f t="shared" si="14"/>
        <v>1489</v>
      </c>
      <c r="D86" s="26"/>
      <c r="E86" s="26">
        <f>'PL26'!D75</f>
        <v>1489</v>
      </c>
      <c r="F86" s="26"/>
      <c r="G86" s="26"/>
      <c r="H86" s="26"/>
      <c r="I86" s="26"/>
      <c r="J86" s="26"/>
      <c r="K86" s="26">
        <f t="shared" si="13"/>
        <v>0</v>
      </c>
      <c r="L86" s="26"/>
      <c r="M86" s="26"/>
      <c r="N86" s="26">
        <f t="shared" si="12"/>
        <v>0</v>
      </c>
      <c r="O86" s="26"/>
      <c r="P86" s="26"/>
      <c r="Q86" s="26"/>
      <c r="R86" s="663"/>
      <c r="S86" s="663"/>
    </row>
    <row r="87" spans="1:19" s="36" customFormat="1" ht="18.75">
      <c r="A87" s="27" t="s">
        <v>19</v>
      </c>
      <c r="B87" s="28" t="s">
        <v>242</v>
      </c>
      <c r="C87" s="26">
        <f t="shared" si="14"/>
        <v>442</v>
      </c>
      <c r="D87" s="26"/>
      <c r="E87" s="26">
        <f>'PL26'!D76</f>
        <v>442</v>
      </c>
      <c r="F87" s="26"/>
      <c r="G87" s="26"/>
      <c r="H87" s="26"/>
      <c r="I87" s="26"/>
      <c r="J87" s="26"/>
      <c r="K87" s="26">
        <f t="shared" si="13"/>
        <v>0</v>
      </c>
      <c r="L87" s="26"/>
      <c r="M87" s="26"/>
      <c r="N87" s="26">
        <f t="shared" si="12"/>
        <v>0</v>
      </c>
      <c r="O87" s="26"/>
      <c r="P87" s="26"/>
      <c r="Q87" s="26"/>
      <c r="R87" s="663"/>
      <c r="S87" s="663"/>
    </row>
    <row r="88" spans="1:19" s="36" customFormat="1" ht="18.75">
      <c r="A88" s="27" t="s">
        <v>19</v>
      </c>
      <c r="B88" s="28" t="s">
        <v>243</v>
      </c>
      <c r="C88" s="26">
        <f t="shared" si="14"/>
        <v>455</v>
      </c>
      <c r="D88" s="26"/>
      <c r="E88" s="26">
        <f>'PL26'!D77</f>
        <v>455</v>
      </c>
      <c r="F88" s="26"/>
      <c r="G88" s="26"/>
      <c r="H88" s="26"/>
      <c r="I88" s="26"/>
      <c r="J88" s="26"/>
      <c r="K88" s="26">
        <f t="shared" si="13"/>
        <v>0</v>
      </c>
      <c r="L88" s="26"/>
      <c r="M88" s="26"/>
      <c r="N88" s="26">
        <f t="shared" si="12"/>
        <v>0</v>
      </c>
      <c r="O88" s="26"/>
      <c r="P88" s="26"/>
      <c r="Q88" s="26"/>
      <c r="R88" s="663"/>
      <c r="S88" s="663"/>
    </row>
    <row r="89" spans="1:19" s="36" customFormat="1" ht="18.75">
      <c r="A89" s="27" t="s">
        <v>19</v>
      </c>
      <c r="B89" s="28" t="s">
        <v>244</v>
      </c>
      <c r="C89" s="26">
        <f t="shared" si="14"/>
        <v>3250</v>
      </c>
      <c r="D89" s="26"/>
      <c r="E89" s="26">
        <f>'PL26'!D78</f>
        <v>3250</v>
      </c>
      <c r="F89" s="26"/>
      <c r="G89" s="26"/>
      <c r="H89" s="26"/>
      <c r="I89" s="26"/>
      <c r="J89" s="26"/>
      <c r="K89" s="26">
        <f t="shared" si="13"/>
        <v>0</v>
      </c>
      <c r="L89" s="26"/>
      <c r="M89" s="26"/>
      <c r="N89" s="26">
        <f t="shared" si="12"/>
        <v>0</v>
      </c>
      <c r="O89" s="26"/>
      <c r="P89" s="26"/>
      <c r="Q89" s="26"/>
      <c r="R89" s="663"/>
      <c r="S89" s="663"/>
    </row>
    <row r="90" spans="1:19" s="36" customFormat="1" ht="18.75">
      <c r="A90" s="27" t="s">
        <v>19</v>
      </c>
      <c r="B90" s="28" t="s">
        <v>245</v>
      </c>
      <c r="C90" s="26">
        <f t="shared" si="14"/>
        <v>5575</v>
      </c>
      <c r="D90" s="26"/>
      <c r="E90" s="26">
        <f>'PL26'!D79</f>
        <v>5575</v>
      </c>
      <c r="F90" s="26"/>
      <c r="G90" s="26"/>
      <c r="H90" s="26"/>
      <c r="I90" s="26"/>
      <c r="J90" s="26"/>
      <c r="K90" s="26">
        <f t="shared" si="13"/>
        <v>0</v>
      </c>
      <c r="L90" s="26"/>
      <c r="M90" s="26"/>
      <c r="N90" s="26">
        <f t="shared" si="12"/>
        <v>0</v>
      </c>
      <c r="O90" s="26"/>
      <c r="P90" s="26"/>
      <c r="Q90" s="26"/>
      <c r="R90" s="663"/>
      <c r="S90" s="663"/>
    </row>
    <row r="91" spans="1:19" s="36" customFormat="1" ht="18.75">
      <c r="A91" s="27" t="s">
        <v>19</v>
      </c>
      <c r="B91" s="28" t="s">
        <v>246</v>
      </c>
      <c r="C91" s="26">
        <f t="shared" si="14"/>
        <v>7992</v>
      </c>
      <c r="D91" s="26"/>
      <c r="E91" s="26">
        <f>'PL26'!D80</f>
        <v>7992</v>
      </c>
      <c r="F91" s="26"/>
      <c r="G91" s="26"/>
      <c r="H91" s="26"/>
      <c r="I91" s="26"/>
      <c r="J91" s="26"/>
      <c r="K91" s="26">
        <f t="shared" si="13"/>
        <v>0</v>
      </c>
      <c r="L91" s="26"/>
      <c r="M91" s="26"/>
      <c r="N91" s="26">
        <f t="shared" si="12"/>
        <v>0</v>
      </c>
      <c r="O91" s="26"/>
      <c r="P91" s="26"/>
      <c r="Q91" s="26"/>
      <c r="R91" s="663"/>
      <c r="S91" s="663"/>
    </row>
    <row r="92" spans="1:19" s="36" customFormat="1" ht="18.75">
      <c r="A92" s="27" t="s">
        <v>19</v>
      </c>
      <c r="B92" s="28" t="s">
        <v>247</v>
      </c>
      <c r="C92" s="26">
        <f t="shared" si="14"/>
        <v>5160</v>
      </c>
      <c r="D92" s="26"/>
      <c r="E92" s="26">
        <f>'PL26'!D81</f>
        <v>5160</v>
      </c>
      <c r="F92" s="26"/>
      <c r="G92" s="26"/>
      <c r="H92" s="26"/>
      <c r="I92" s="26"/>
      <c r="J92" s="26"/>
      <c r="K92" s="26">
        <f t="shared" si="13"/>
        <v>0</v>
      </c>
      <c r="L92" s="26"/>
      <c r="M92" s="26"/>
      <c r="N92" s="26">
        <f t="shared" si="12"/>
        <v>0</v>
      </c>
      <c r="O92" s="26"/>
      <c r="P92" s="26"/>
      <c r="Q92" s="26"/>
      <c r="R92" s="663"/>
      <c r="S92" s="663"/>
    </row>
    <row r="93" spans="1:19" s="36" customFormat="1" ht="18.75">
      <c r="A93" s="27" t="s">
        <v>19</v>
      </c>
      <c r="B93" s="28" t="s">
        <v>248</v>
      </c>
      <c r="C93" s="26">
        <f>D93+E93+F93+G93+H93+I93+J93+K93+N93+Q93</f>
        <v>288</v>
      </c>
      <c r="D93" s="26"/>
      <c r="E93" s="26">
        <f>'PL26'!D82</f>
        <v>288</v>
      </c>
      <c r="F93" s="26"/>
      <c r="G93" s="26"/>
      <c r="H93" s="26"/>
      <c r="I93" s="26"/>
      <c r="J93" s="26"/>
      <c r="K93" s="26">
        <f t="shared" si="13"/>
        <v>0</v>
      </c>
      <c r="L93" s="26"/>
      <c r="M93" s="26"/>
      <c r="N93" s="26">
        <f t="shared" si="12"/>
        <v>0</v>
      </c>
      <c r="O93" s="26"/>
      <c r="P93" s="26"/>
      <c r="Q93" s="26"/>
      <c r="R93" s="663"/>
      <c r="S93" s="663"/>
    </row>
    <row r="94" spans="1:19" s="36" customFormat="1" ht="18.75">
      <c r="A94" s="27" t="s">
        <v>249</v>
      </c>
      <c r="B94" s="28" t="s">
        <v>250</v>
      </c>
      <c r="C94" s="26">
        <f>D94+E94+F94+G94+H94+I94+J94+K94+N94+Q94</f>
        <v>15000</v>
      </c>
      <c r="D94" s="26"/>
      <c r="E94" s="26">
        <f>'PL26'!D85</f>
        <v>15000</v>
      </c>
      <c r="F94" s="26"/>
      <c r="G94" s="26"/>
      <c r="H94" s="26"/>
      <c r="I94" s="26"/>
      <c r="J94" s="26"/>
      <c r="K94" s="26">
        <f t="shared" si="13"/>
        <v>0</v>
      </c>
      <c r="L94" s="26"/>
      <c r="M94" s="26"/>
      <c r="N94" s="26">
        <f t="shared" si="12"/>
        <v>0</v>
      </c>
      <c r="O94" s="26"/>
      <c r="P94" s="26"/>
      <c r="Q94" s="26"/>
      <c r="R94" s="663"/>
      <c r="S94" s="663"/>
    </row>
    <row r="95" spans="1:19" s="36" customFormat="1" ht="18.75">
      <c r="A95" s="27" t="s">
        <v>251</v>
      </c>
      <c r="B95" s="28" t="s">
        <v>252</v>
      </c>
      <c r="C95" s="26">
        <f t="shared" ref="C95:C96" si="15">D95+E95+F95+G95+H95+I95+J95+K95+N95+Q95</f>
        <v>20</v>
      </c>
      <c r="D95" s="26"/>
      <c r="E95" s="26">
        <f>'PL26'!D83</f>
        <v>20</v>
      </c>
      <c r="F95" s="26"/>
      <c r="G95" s="26"/>
      <c r="H95" s="26"/>
      <c r="I95" s="26"/>
      <c r="J95" s="26"/>
      <c r="K95" s="26">
        <f t="shared" si="13"/>
        <v>0</v>
      </c>
      <c r="L95" s="26"/>
      <c r="M95" s="26"/>
      <c r="N95" s="26">
        <f t="shared" si="12"/>
        <v>0</v>
      </c>
      <c r="O95" s="26"/>
      <c r="P95" s="26"/>
      <c r="Q95" s="26"/>
      <c r="R95" s="663"/>
      <c r="S95" s="663"/>
    </row>
    <row r="96" spans="1:19" s="36" customFormat="1" ht="18.75">
      <c r="A96" s="27" t="s">
        <v>253</v>
      </c>
      <c r="B96" s="28" t="s">
        <v>254</v>
      </c>
      <c r="C96" s="26">
        <f t="shared" si="15"/>
        <v>350525</v>
      </c>
      <c r="D96" s="26"/>
      <c r="E96" s="26">
        <f>'PL26'!D84</f>
        <v>292103</v>
      </c>
      <c r="F96" s="26"/>
      <c r="G96" s="26"/>
      <c r="H96" s="26"/>
      <c r="I96" s="26"/>
      <c r="J96" s="26"/>
      <c r="K96" s="26">
        <f t="shared" si="13"/>
        <v>0</v>
      </c>
      <c r="L96" s="26"/>
      <c r="M96" s="26"/>
      <c r="N96" s="26">
        <f t="shared" si="12"/>
        <v>58422</v>
      </c>
      <c r="O96" s="26"/>
      <c r="P96" s="26">
        <f>'PL26'!T84</f>
        <v>58422</v>
      </c>
      <c r="Q96" s="26"/>
      <c r="R96" s="663"/>
      <c r="S96" s="663"/>
    </row>
    <row r="97" spans="1:19" s="35" customFormat="1" ht="37.5" hidden="1">
      <c r="A97" s="38">
        <v>4</v>
      </c>
      <c r="B97" s="39" t="s">
        <v>255</v>
      </c>
      <c r="C97" s="24">
        <f t="shared" si="14"/>
        <v>0</v>
      </c>
      <c r="D97" s="24"/>
      <c r="E97" s="24">
        <f>'PL26'!D86</f>
        <v>0</v>
      </c>
      <c r="F97" s="24"/>
      <c r="G97" s="24"/>
      <c r="H97" s="24"/>
      <c r="I97" s="24"/>
      <c r="J97" s="24"/>
      <c r="K97" s="24"/>
      <c r="L97" s="24"/>
      <c r="M97" s="24"/>
      <c r="N97" s="24"/>
      <c r="O97" s="24"/>
      <c r="P97" s="24"/>
      <c r="Q97" s="24"/>
      <c r="R97" s="663"/>
      <c r="S97" s="663"/>
    </row>
    <row r="98" spans="1:19" s="35" customFormat="1" ht="18.75" hidden="1">
      <c r="A98" s="38">
        <v>6</v>
      </c>
      <c r="B98" s="39" t="s">
        <v>256</v>
      </c>
      <c r="C98" s="24">
        <f t="shared" si="14"/>
        <v>0</v>
      </c>
      <c r="D98" s="24"/>
      <c r="E98" s="24">
        <f>'PL26'!D87</f>
        <v>0</v>
      </c>
      <c r="F98" s="24"/>
      <c r="G98" s="24"/>
      <c r="H98" s="24"/>
      <c r="I98" s="24"/>
      <c r="J98" s="24"/>
      <c r="K98" s="24"/>
      <c r="L98" s="24"/>
      <c r="M98" s="24"/>
      <c r="N98" s="24"/>
      <c r="O98" s="24"/>
      <c r="P98" s="24"/>
      <c r="Q98" s="24"/>
      <c r="R98" s="663"/>
      <c r="S98" s="663"/>
    </row>
    <row r="99" spans="1:19" s="35" customFormat="1" ht="18.75" hidden="1">
      <c r="A99" s="38">
        <v>7</v>
      </c>
      <c r="B99" s="39" t="s">
        <v>257</v>
      </c>
      <c r="C99" s="24">
        <f t="shared" si="14"/>
        <v>0</v>
      </c>
      <c r="D99" s="24"/>
      <c r="E99" s="24">
        <f>'PL26'!D88</f>
        <v>0</v>
      </c>
      <c r="F99" s="24"/>
      <c r="G99" s="24"/>
      <c r="H99" s="24"/>
      <c r="I99" s="24"/>
      <c r="J99" s="24"/>
      <c r="K99" s="24"/>
      <c r="L99" s="24"/>
      <c r="M99" s="24"/>
      <c r="N99" s="24"/>
      <c r="O99" s="24"/>
      <c r="P99" s="24"/>
      <c r="Q99" s="24"/>
      <c r="R99" s="663"/>
      <c r="S99" s="663"/>
    </row>
    <row r="100" spans="1:19" s="650" customFormat="1" ht="37.5">
      <c r="A100" s="666" t="s">
        <v>25</v>
      </c>
      <c r="B100" s="665" t="s">
        <v>789</v>
      </c>
      <c r="C100" s="24">
        <f t="shared" si="14"/>
        <v>10706</v>
      </c>
      <c r="D100" s="667"/>
      <c r="E100" s="667"/>
      <c r="F100" s="667">
        <v>10706</v>
      </c>
      <c r="G100" s="667"/>
      <c r="H100" s="667"/>
      <c r="I100" s="667"/>
      <c r="J100" s="667"/>
      <c r="K100" s="667"/>
      <c r="L100" s="667"/>
      <c r="M100" s="667"/>
      <c r="N100" s="667"/>
      <c r="O100" s="667"/>
      <c r="P100" s="667"/>
      <c r="Q100" s="667"/>
      <c r="R100" s="663"/>
      <c r="S100" s="663"/>
    </row>
    <row r="101" spans="1:19" s="650" customFormat="1" ht="18.75">
      <c r="A101" s="666" t="s">
        <v>32</v>
      </c>
      <c r="B101" s="665" t="s">
        <v>68</v>
      </c>
      <c r="C101" s="24">
        <f t="shared" si="14"/>
        <v>1000</v>
      </c>
      <c r="D101" s="667"/>
      <c r="E101" s="667"/>
      <c r="F101" s="667"/>
      <c r="G101" s="667">
        <v>1000</v>
      </c>
      <c r="H101" s="667"/>
      <c r="I101" s="667"/>
      <c r="J101" s="667"/>
      <c r="K101" s="667"/>
      <c r="L101" s="667"/>
      <c r="M101" s="667"/>
      <c r="N101" s="667"/>
      <c r="O101" s="667"/>
      <c r="P101" s="667"/>
      <c r="Q101" s="667"/>
      <c r="R101" s="663"/>
      <c r="S101" s="663"/>
    </row>
    <row r="102" spans="1:19" s="650" customFormat="1" ht="18.75">
      <c r="A102" s="668" t="s">
        <v>67</v>
      </c>
      <c r="B102" s="665" t="s">
        <v>70</v>
      </c>
      <c r="C102" s="24">
        <f t="shared" si="14"/>
        <v>0</v>
      </c>
      <c r="D102" s="667"/>
      <c r="E102" s="667"/>
      <c r="F102" s="667"/>
      <c r="G102" s="667"/>
      <c r="H102" s="667"/>
      <c r="I102" s="667"/>
      <c r="J102" s="667"/>
      <c r="K102" s="667"/>
      <c r="L102" s="667"/>
      <c r="M102" s="667"/>
      <c r="N102" s="667"/>
      <c r="O102" s="667"/>
      <c r="P102" s="667"/>
      <c r="Q102" s="667"/>
      <c r="R102" s="663"/>
      <c r="S102" s="663"/>
    </row>
    <row r="103" spans="1:19" s="650" customFormat="1" ht="37.5">
      <c r="A103" s="666" t="s">
        <v>69</v>
      </c>
      <c r="B103" s="665" t="s">
        <v>72</v>
      </c>
      <c r="C103" s="24">
        <f t="shared" si="14"/>
        <v>333799</v>
      </c>
      <c r="D103" s="667"/>
      <c r="E103" s="667"/>
      <c r="F103" s="667"/>
      <c r="G103" s="667"/>
      <c r="H103" s="667"/>
      <c r="I103" s="667">
        <f>'PL12'!D27</f>
        <v>333799</v>
      </c>
      <c r="J103" s="667"/>
      <c r="K103" s="667"/>
      <c r="L103" s="667"/>
      <c r="M103" s="667"/>
      <c r="N103" s="667"/>
      <c r="O103" s="667"/>
      <c r="P103" s="667"/>
      <c r="Q103" s="667"/>
      <c r="R103" s="663"/>
      <c r="S103" s="663"/>
    </row>
    <row r="104" spans="1:19" s="650" customFormat="1" ht="37.5">
      <c r="A104" s="666" t="s">
        <v>258</v>
      </c>
      <c r="B104" s="665" t="s">
        <v>74</v>
      </c>
      <c r="C104" s="24">
        <f t="shared" si="14"/>
        <v>8657</v>
      </c>
      <c r="D104" s="667"/>
      <c r="E104" s="667"/>
      <c r="F104" s="667"/>
      <c r="G104" s="667"/>
      <c r="H104" s="667"/>
      <c r="I104" s="667"/>
      <c r="J104" s="667">
        <f>'PL23'!D48</f>
        <v>8657</v>
      </c>
      <c r="K104" s="667"/>
      <c r="L104" s="667"/>
      <c r="M104" s="667"/>
      <c r="N104" s="667"/>
      <c r="O104" s="667"/>
      <c r="P104" s="667"/>
      <c r="Q104" s="667"/>
      <c r="R104" s="663"/>
      <c r="S104" s="663"/>
    </row>
    <row r="105" spans="1:19" s="650" customFormat="1" ht="18.75">
      <c r="A105" s="669" t="s">
        <v>11</v>
      </c>
      <c r="B105" s="670" t="s">
        <v>259</v>
      </c>
      <c r="C105" s="24">
        <f t="shared" si="14"/>
        <v>3794860</v>
      </c>
      <c r="D105" s="671"/>
      <c r="E105" s="671"/>
      <c r="F105" s="671"/>
      <c r="G105" s="671"/>
      <c r="H105" s="671"/>
      <c r="I105" s="671"/>
      <c r="J105" s="671"/>
      <c r="K105" s="671">
        <f>L105+M105</f>
        <v>707133</v>
      </c>
      <c r="L105" s="671">
        <f>798260-91127</f>
        <v>707133</v>
      </c>
      <c r="M105" s="671"/>
      <c r="N105" s="671">
        <f>O105+P105</f>
        <v>3087727</v>
      </c>
      <c r="O105" s="671">
        <f>'PL22'!G40</f>
        <v>3087727</v>
      </c>
      <c r="P105" s="671"/>
      <c r="Q105" s="671"/>
      <c r="R105" s="663"/>
      <c r="S105" s="663"/>
    </row>
    <row r="106" spans="1:19" s="650" customFormat="1" ht="37.5">
      <c r="A106" s="666" t="s">
        <v>75</v>
      </c>
      <c r="B106" s="665" t="s">
        <v>260</v>
      </c>
      <c r="C106" s="24">
        <f t="shared" si="14"/>
        <v>521625</v>
      </c>
      <c r="D106" s="667"/>
      <c r="E106" s="667"/>
      <c r="F106" s="667"/>
      <c r="G106" s="667"/>
      <c r="H106" s="667"/>
      <c r="I106" s="667"/>
      <c r="J106" s="667"/>
      <c r="K106" s="667"/>
      <c r="L106" s="667"/>
      <c r="M106" s="667"/>
      <c r="N106" s="667">
        <f>O106+P106</f>
        <v>75108</v>
      </c>
      <c r="O106" s="667"/>
      <c r="P106" s="667">
        <f>59211+15897</f>
        <v>75108</v>
      </c>
      <c r="Q106" s="667">
        <f>281871+203646-39000</f>
        <v>446517</v>
      </c>
      <c r="R106" s="663"/>
      <c r="S106" s="663"/>
    </row>
    <row r="107" spans="1:19" ht="18.75">
      <c r="A107" s="672"/>
      <c r="B107" s="673"/>
      <c r="C107" s="672"/>
      <c r="D107" s="672"/>
      <c r="E107" s="672"/>
      <c r="F107" s="672"/>
      <c r="G107" s="672"/>
      <c r="H107" s="672"/>
      <c r="I107" s="672"/>
      <c r="J107" s="672"/>
      <c r="K107" s="672"/>
      <c r="L107" s="672"/>
      <c r="M107" s="672"/>
      <c r="N107" s="672"/>
      <c r="O107" s="672"/>
      <c r="P107" s="672"/>
      <c r="Q107" s="672"/>
    </row>
    <row r="108" spans="1:19" ht="18.75">
      <c r="A108" s="674"/>
      <c r="B108" s="675"/>
      <c r="C108" s="654"/>
      <c r="D108" s="654"/>
      <c r="E108" s="654"/>
      <c r="F108" s="654"/>
      <c r="G108" s="654"/>
      <c r="H108" s="654"/>
      <c r="I108" s="654"/>
      <c r="J108" s="654"/>
      <c r="K108" s="654"/>
      <c r="L108" s="654"/>
      <c r="M108" s="654"/>
      <c r="N108" s="654"/>
      <c r="O108" s="654"/>
      <c r="P108" s="654"/>
      <c r="Q108" s="654"/>
    </row>
    <row r="109" spans="1:19" ht="18.75">
      <c r="A109" s="674"/>
      <c r="B109" s="676"/>
      <c r="C109" s="654"/>
      <c r="D109" s="654"/>
      <c r="E109" s="654"/>
      <c r="F109" s="654"/>
      <c r="G109" s="654"/>
      <c r="H109" s="654"/>
      <c r="I109" s="654"/>
      <c r="J109" s="654"/>
      <c r="K109" s="654"/>
      <c r="L109" s="654"/>
      <c r="M109" s="654"/>
      <c r="N109" s="654"/>
      <c r="O109" s="654"/>
      <c r="P109" s="654"/>
      <c r="Q109" s="654"/>
    </row>
    <row r="110" spans="1:19" ht="18.75">
      <c r="A110" s="674"/>
      <c r="B110" s="676"/>
      <c r="C110" s="654"/>
      <c r="D110" s="654"/>
      <c r="E110" s="654"/>
      <c r="F110" s="654"/>
      <c r="G110" s="654"/>
      <c r="H110" s="654"/>
      <c r="I110" s="654"/>
      <c r="J110" s="654"/>
      <c r="K110" s="654"/>
      <c r="L110" s="654"/>
      <c r="M110" s="654"/>
      <c r="N110" s="654"/>
      <c r="O110" s="654"/>
      <c r="P110" s="654"/>
      <c r="Q110" s="654"/>
    </row>
    <row r="111" spans="1:19" ht="18.75">
      <c r="A111" s="654"/>
      <c r="B111" s="676"/>
      <c r="C111" s="654"/>
      <c r="D111" s="654"/>
      <c r="E111" s="654"/>
      <c r="F111" s="654"/>
      <c r="G111" s="654"/>
      <c r="H111" s="654"/>
      <c r="I111" s="654"/>
      <c r="J111" s="654"/>
      <c r="K111" s="654"/>
      <c r="L111" s="654"/>
      <c r="M111" s="654"/>
      <c r="N111" s="654"/>
      <c r="O111" s="654"/>
      <c r="P111" s="654"/>
      <c r="Q111" s="654"/>
    </row>
    <row r="112" spans="1:19" ht="18.75">
      <c r="A112" s="654"/>
      <c r="B112" s="675"/>
      <c r="C112" s="654"/>
      <c r="D112" s="654"/>
      <c r="E112" s="654"/>
      <c r="F112" s="654"/>
      <c r="G112" s="654"/>
      <c r="H112" s="654"/>
      <c r="I112" s="654"/>
      <c r="J112" s="654"/>
      <c r="K112" s="654"/>
      <c r="L112" s="654"/>
      <c r="M112" s="654"/>
      <c r="N112" s="654"/>
      <c r="O112" s="654"/>
      <c r="P112" s="654"/>
      <c r="Q112" s="654"/>
    </row>
    <row r="113" spans="1:17" ht="18.75">
      <c r="A113" s="654"/>
      <c r="B113" s="675"/>
      <c r="C113" s="654"/>
      <c r="D113" s="654"/>
      <c r="E113" s="654"/>
      <c r="F113" s="654"/>
      <c r="G113" s="654"/>
      <c r="H113" s="654"/>
      <c r="I113" s="654"/>
      <c r="J113" s="654"/>
      <c r="K113" s="654"/>
      <c r="L113" s="654"/>
      <c r="M113" s="654"/>
      <c r="N113" s="654"/>
      <c r="O113" s="654"/>
      <c r="P113" s="654"/>
      <c r="Q113" s="654"/>
    </row>
    <row r="114" spans="1:17" ht="18.75">
      <c r="A114" s="654"/>
      <c r="B114" s="675"/>
      <c r="C114" s="654"/>
      <c r="D114" s="654"/>
      <c r="E114" s="654"/>
      <c r="F114" s="654"/>
      <c r="G114" s="654"/>
      <c r="H114" s="654"/>
      <c r="I114" s="654"/>
      <c r="J114" s="654"/>
      <c r="K114" s="654"/>
      <c r="L114" s="654"/>
      <c r="M114" s="654"/>
      <c r="N114" s="654"/>
      <c r="O114" s="654"/>
      <c r="P114" s="654"/>
      <c r="Q114" s="654"/>
    </row>
    <row r="115" spans="1:17" ht="18.75">
      <c r="A115" s="654"/>
      <c r="B115" s="675"/>
      <c r="C115" s="654"/>
      <c r="D115" s="654"/>
      <c r="E115" s="654"/>
      <c r="F115" s="654"/>
      <c r="G115" s="654"/>
      <c r="H115" s="654"/>
      <c r="I115" s="654"/>
      <c r="J115" s="654"/>
      <c r="K115" s="654"/>
      <c r="L115" s="654"/>
      <c r="M115" s="654"/>
      <c r="N115" s="654"/>
      <c r="O115" s="654"/>
      <c r="P115" s="654"/>
      <c r="Q115" s="654"/>
    </row>
    <row r="116" spans="1:17" ht="18.75">
      <c r="A116" s="654"/>
      <c r="B116" s="675"/>
      <c r="C116" s="654"/>
      <c r="D116" s="654"/>
      <c r="E116" s="654"/>
      <c r="F116" s="654"/>
      <c r="G116" s="654"/>
      <c r="H116" s="654"/>
      <c r="I116" s="654"/>
      <c r="J116" s="654"/>
      <c r="K116" s="654"/>
      <c r="L116" s="654"/>
      <c r="M116" s="654"/>
      <c r="N116" s="654"/>
      <c r="O116" s="654"/>
      <c r="P116" s="654"/>
      <c r="Q116" s="654"/>
    </row>
    <row r="117" spans="1:17" ht="18.75">
      <c r="A117" s="674"/>
      <c r="B117" s="676"/>
      <c r="C117" s="654"/>
      <c r="D117" s="654"/>
      <c r="E117" s="654"/>
      <c r="F117" s="654"/>
      <c r="G117" s="654"/>
      <c r="H117" s="654"/>
      <c r="I117" s="654"/>
      <c r="J117" s="654"/>
      <c r="K117" s="654"/>
      <c r="L117" s="654"/>
      <c r="M117" s="654"/>
      <c r="N117" s="654"/>
      <c r="O117" s="654"/>
      <c r="P117" s="654"/>
      <c r="Q117" s="654"/>
    </row>
    <row r="118" spans="1:17" ht="18.75">
      <c r="A118" s="674"/>
      <c r="B118" s="676"/>
      <c r="C118" s="654"/>
      <c r="D118" s="654"/>
      <c r="E118" s="654"/>
      <c r="F118" s="654"/>
      <c r="G118" s="654"/>
      <c r="H118" s="654"/>
      <c r="I118" s="654"/>
      <c r="J118" s="654"/>
      <c r="K118" s="654"/>
      <c r="L118" s="654"/>
      <c r="M118" s="654"/>
      <c r="N118" s="654"/>
      <c r="O118" s="654"/>
      <c r="P118" s="654"/>
      <c r="Q118" s="654"/>
    </row>
    <row r="119" spans="1:17" ht="18.75">
      <c r="A119" s="654"/>
      <c r="B119" s="675"/>
      <c r="C119" s="654"/>
      <c r="D119" s="654"/>
      <c r="E119" s="654"/>
      <c r="F119" s="654"/>
      <c r="G119" s="654"/>
      <c r="H119" s="654"/>
      <c r="I119" s="654"/>
      <c r="J119" s="654"/>
      <c r="K119" s="654"/>
      <c r="L119" s="654"/>
      <c r="M119" s="654"/>
      <c r="N119" s="654"/>
      <c r="O119" s="654"/>
      <c r="P119" s="654"/>
      <c r="Q119" s="654"/>
    </row>
    <row r="120" spans="1:17" ht="18.75">
      <c r="A120" s="654"/>
      <c r="B120" s="675"/>
      <c r="C120" s="654"/>
      <c r="D120" s="654"/>
      <c r="E120" s="654"/>
      <c r="F120" s="654"/>
      <c r="G120" s="654"/>
      <c r="H120" s="654"/>
      <c r="I120" s="654"/>
      <c r="J120" s="654"/>
      <c r="K120" s="654"/>
      <c r="L120" s="654"/>
      <c r="M120" s="654"/>
      <c r="N120" s="654"/>
      <c r="O120" s="654"/>
      <c r="P120" s="654"/>
      <c r="Q120" s="654"/>
    </row>
    <row r="121" spans="1:17" ht="18.75">
      <c r="A121" s="654"/>
      <c r="B121" s="675"/>
      <c r="C121" s="654"/>
      <c r="D121" s="654"/>
      <c r="E121" s="654"/>
      <c r="F121" s="654"/>
      <c r="G121" s="654"/>
      <c r="H121" s="654"/>
      <c r="I121" s="654"/>
      <c r="J121" s="654"/>
      <c r="K121" s="654"/>
      <c r="L121" s="654"/>
      <c r="M121" s="654"/>
      <c r="N121" s="654"/>
      <c r="O121" s="654"/>
      <c r="P121" s="654"/>
      <c r="Q121" s="654"/>
    </row>
    <row r="122" spans="1:17" ht="18.75">
      <c r="A122" s="654"/>
      <c r="B122" s="675"/>
      <c r="C122" s="654"/>
      <c r="D122" s="654"/>
      <c r="E122" s="654"/>
      <c r="F122" s="654"/>
      <c r="G122" s="654"/>
      <c r="H122" s="654"/>
      <c r="I122" s="654"/>
      <c r="J122" s="654"/>
      <c r="K122" s="654"/>
      <c r="L122" s="654"/>
      <c r="M122" s="654"/>
      <c r="N122" s="654"/>
      <c r="O122" s="654"/>
      <c r="P122" s="654"/>
      <c r="Q122" s="654"/>
    </row>
    <row r="123" spans="1:17" ht="18.75">
      <c r="A123" s="654"/>
      <c r="B123" s="675"/>
      <c r="C123" s="654"/>
      <c r="D123" s="654"/>
      <c r="E123" s="654"/>
      <c r="F123" s="654"/>
      <c r="G123" s="654"/>
      <c r="H123" s="654"/>
      <c r="I123" s="654"/>
      <c r="J123" s="654"/>
      <c r="K123" s="654"/>
      <c r="L123" s="654"/>
      <c r="M123" s="654"/>
      <c r="N123" s="654"/>
      <c r="O123" s="654"/>
      <c r="P123" s="654"/>
      <c r="Q123" s="654"/>
    </row>
    <row r="124" spans="1:17" ht="18.75">
      <c r="A124" s="654"/>
      <c r="B124" s="675"/>
      <c r="C124" s="654"/>
      <c r="D124" s="654"/>
      <c r="E124" s="654"/>
      <c r="F124" s="654"/>
      <c r="G124" s="654"/>
      <c r="H124" s="654"/>
      <c r="I124" s="654"/>
      <c r="J124" s="654"/>
      <c r="K124" s="654"/>
      <c r="L124" s="654"/>
      <c r="M124" s="654"/>
      <c r="N124" s="654"/>
      <c r="O124" s="654"/>
      <c r="P124" s="654"/>
      <c r="Q124" s="654"/>
    </row>
    <row r="125" spans="1:17" ht="18.75">
      <c r="A125" s="654"/>
      <c r="B125" s="675"/>
      <c r="C125" s="654"/>
      <c r="D125" s="654"/>
      <c r="E125" s="654"/>
      <c r="F125" s="654"/>
      <c r="G125" s="654"/>
      <c r="H125" s="654"/>
      <c r="I125" s="654"/>
      <c r="J125" s="654"/>
      <c r="K125" s="654"/>
      <c r="L125" s="654"/>
      <c r="M125" s="654"/>
      <c r="N125" s="654"/>
      <c r="O125" s="654"/>
      <c r="P125" s="654"/>
      <c r="Q125" s="654"/>
    </row>
  </sheetData>
  <mergeCells count="21">
    <mergeCell ref="A2:Q2"/>
    <mergeCell ref="A3:Q3"/>
    <mergeCell ref="A5:A8"/>
    <mergeCell ref="B5:B8"/>
    <mergeCell ref="C5:C8"/>
    <mergeCell ref="D5:D8"/>
    <mergeCell ref="E5:E8"/>
    <mergeCell ref="F5:F8"/>
    <mergeCell ref="G5:G8"/>
    <mergeCell ref="H5:H8"/>
    <mergeCell ref="Q5:Q8"/>
    <mergeCell ref="K6:K8"/>
    <mergeCell ref="L6:L8"/>
    <mergeCell ref="M6:M8"/>
    <mergeCell ref="O6:O8"/>
    <mergeCell ref="P6:P8"/>
    <mergeCell ref="I5:I8"/>
    <mergeCell ref="J5:J8"/>
    <mergeCell ref="K5:M5"/>
    <mergeCell ref="N5:N8"/>
    <mergeCell ref="O5:P5"/>
  </mergeCells>
  <phoneticPr fontId="53" type="noConversion"/>
  <printOptions horizontalCentered="1"/>
  <pageMargins left="0.19685039370078741" right="0.23622047244094491" top="0.35433070866141736" bottom="0.43" header="0.19685039370078741" footer="0.2"/>
  <pageSetup paperSize="9" scale="55" fitToHeight="0" orientation="landscape" r:id="rId1"/>
  <headerFooter alignWithMargins="0">
    <oddFooter>&amp;C&amp;".VnTime,  Italic"&amp;8
&amp;".VnTimeH,Regular"&amp;12&amp;P/&amp;N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S56"/>
  <sheetViews>
    <sheetView zoomScale="85" zoomScaleNormal="85" workbookViewId="0">
      <pane xSplit="2" ySplit="10" topLeftCell="C11" activePane="bottomRight" state="frozen"/>
      <selection activeCell="A40" sqref="A40:XFD41"/>
      <selection pane="topRight" activeCell="A40" sqref="A40:XFD41"/>
      <selection pane="bottomLeft" activeCell="A40" sqref="A40:XFD41"/>
      <selection pane="bottomRight" activeCell="A40" sqref="A40:XFD41"/>
    </sheetView>
  </sheetViews>
  <sheetFormatPr defaultRowHeight="15.75" outlineLevelRow="2"/>
  <cols>
    <col min="1" max="1" width="5.140625" style="263" customWidth="1"/>
    <col min="2" max="2" width="35.85546875" style="263" customWidth="1"/>
    <col min="3" max="3" width="11.5703125" style="263" customWidth="1"/>
    <col min="4" max="12" width="10.42578125" style="263" customWidth="1"/>
    <col min="13" max="16" width="10.7109375" style="263" customWidth="1"/>
    <col min="17" max="18" width="10.42578125" style="263" customWidth="1"/>
    <col min="19" max="19" width="9.140625" style="310"/>
    <col min="20" max="256" width="9.140625" style="263"/>
    <col min="257" max="257" width="5.140625" style="263" customWidth="1"/>
    <col min="258" max="258" width="35.85546875" style="263" customWidth="1"/>
    <col min="259" max="259" width="11.5703125" style="263" customWidth="1"/>
    <col min="260" max="268" width="10.42578125" style="263" customWidth="1"/>
    <col min="269" max="272" width="10.7109375" style="263" customWidth="1"/>
    <col min="273" max="274" width="10.42578125" style="263" customWidth="1"/>
    <col min="275" max="512" width="9.140625" style="263"/>
    <col min="513" max="513" width="5.140625" style="263" customWidth="1"/>
    <col min="514" max="514" width="35.85546875" style="263" customWidth="1"/>
    <col min="515" max="515" width="11.5703125" style="263" customWidth="1"/>
    <col min="516" max="524" width="10.42578125" style="263" customWidth="1"/>
    <col min="525" max="528" width="10.7109375" style="263" customWidth="1"/>
    <col min="529" max="530" width="10.42578125" style="263" customWidth="1"/>
    <col min="531" max="768" width="9.140625" style="263"/>
    <col min="769" max="769" width="5.140625" style="263" customWidth="1"/>
    <col min="770" max="770" width="35.85546875" style="263" customWidth="1"/>
    <col min="771" max="771" width="11.5703125" style="263" customWidth="1"/>
    <col min="772" max="780" width="10.42578125" style="263" customWidth="1"/>
    <col min="781" max="784" width="10.7109375" style="263" customWidth="1"/>
    <col min="785" max="786" width="10.42578125" style="263" customWidth="1"/>
    <col min="787" max="1024" width="9.140625" style="263"/>
    <col min="1025" max="1025" width="5.140625" style="263" customWidth="1"/>
    <col min="1026" max="1026" width="35.85546875" style="263" customWidth="1"/>
    <col min="1027" max="1027" width="11.5703125" style="263" customWidth="1"/>
    <col min="1028" max="1036" width="10.42578125" style="263" customWidth="1"/>
    <col min="1037" max="1040" width="10.7109375" style="263" customWidth="1"/>
    <col min="1041" max="1042" width="10.42578125" style="263" customWidth="1"/>
    <col min="1043" max="1280" width="9.140625" style="263"/>
    <col min="1281" max="1281" width="5.140625" style="263" customWidth="1"/>
    <col min="1282" max="1282" width="35.85546875" style="263" customWidth="1"/>
    <col min="1283" max="1283" width="11.5703125" style="263" customWidth="1"/>
    <col min="1284" max="1292" width="10.42578125" style="263" customWidth="1"/>
    <col min="1293" max="1296" width="10.7109375" style="263" customWidth="1"/>
    <col min="1297" max="1298" width="10.42578125" style="263" customWidth="1"/>
    <col min="1299" max="1536" width="9.140625" style="263"/>
    <col min="1537" max="1537" width="5.140625" style="263" customWidth="1"/>
    <col min="1538" max="1538" width="35.85546875" style="263" customWidth="1"/>
    <col min="1539" max="1539" width="11.5703125" style="263" customWidth="1"/>
    <col min="1540" max="1548" width="10.42578125" style="263" customWidth="1"/>
    <col min="1549" max="1552" width="10.7109375" style="263" customWidth="1"/>
    <col min="1553" max="1554" width="10.42578125" style="263" customWidth="1"/>
    <col min="1555" max="1792" width="9.140625" style="263"/>
    <col min="1793" max="1793" width="5.140625" style="263" customWidth="1"/>
    <col min="1794" max="1794" width="35.85546875" style="263" customWidth="1"/>
    <col min="1795" max="1795" width="11.5703125" style="263" customWidth="1"/>
    <col min="1796" max="1804" width="10.42578125" style="263" customWidth="1"/>
    <col min="1805" max="1808" width="10.7109375" style="263" customWidth="1"/>
    <col min="1809" max="1810" width="10.42578125" style="263" customWidth="1"/>
    <col min="1811" max="2048" width="9.140625" style="263"/>
    <col min="2049" max="2049" width="5.140625" style="263" customWidth="1"/>
    <col min="2050" max="2050" width="35.85546875" style="263" customWidth="1"/>
    <col min="2051" max="2051" width="11.5703125" style="263" customWidth="1"/>
    <col min="2052" max="2060" width="10.42578125" style="263" customWidth="1"/>
    <col min="2061" max="2064" width="10.7109375" style="263" customWidth="1"/>
    <col min="2065" max="2066" width="10.42578125" style="263" customWidth="1"/>
    <col min="2067" max="2304" width="9.140625" style="263"/>
    <col min="2305" max="2305" width="5.140625" style="263" customWidth="1"/>
    <col min="2306" max="2306" width="35.85546875" style="263" customWidth="1"/>
    <col min="2307" max="2307" width="11.5703125" style="263" customWidth="1"/>
    <col min="2308" max="2316" width="10.42578125" style="263" customWidth="1"/>
    <col min="2317" max="2320" width="10.7109375" style="263" customWidth="1"/>
    <col min="2321" max="2322" width="10.42578125" style="263" customWidth="1"/>
    <col min="2323" max="2560" width="9.140625" style="263"/>
    <col min="2561" max="2561" width="5.140625" style="263" customWidth="1"/>
    <col min="2562" max="2562" width="35.85546875" style="263" customWidth="1"/>
    <col min="2563" max="2563" width="11.5703125" style="263" customWidth="1"/>
    <col min="2564" max="2572" width="10.42578125" style="263" customWidth="1"/>
    <col min="2573" max="2576" width="10.7109375" style="263" customWidth="1"/>
    <col min="2577" max="2578" width="10.42578125" style="263" customWidth="1"/>
    <col min="2579" max="2816" width="9.140625" style="263"/>
    <col min="2817" max="2817" width="5.140625" style="263" customWidth="1"/>
    <col min="2818" max="2818" width="35.85546875" style="263" customWidth="1"/>
    <col min="2819" max="2819" width="11.5703125" style="263" customWidth="1"/>
    <col min="2820" max="2828" width="10.42578125" style="263" customWidth="1"/>
    <col min="2829" max="2832" width="10.7109375" style="263" customWidth="1"/>
    <col min="2833" max="2834" width="10.42578125" style="263" customWidth="1"/>
    <col min="2835" max="3072" width="9.140625" style="263"/>
    <col min="3073" max="3073" width="5.140625" style="263" customWidth="1"/>
    <col min="3074" max="3074" width="35.85546875" style="263" customWidth="1"/>
    <col min="3075" max="3075" width="11.5703125" style="263" customWidth="1"/>
    <col min="3076" max="3084" width="10.42578125" style="263" customWidth="1"/>
    <col min="3085" max="3088" width="10.7109375" style="263" customWidth="1"/>
    <col min="3089" max="3090" width="10.42578125" style="263" customWidth="1"/>
    <col min="3091" max="3328" width="9.140625" style="263"/>
    <col min="3329" max="3329" width="5.140625" style="263" customWidth="1"/>
    <col min="3330" max="3330" width="35.85546875" style="263" customWidth="1"/>
    <col min="3331" max="3331" width="11.5703125" style="263" customWidth="1"/>
    <col min="3332" max="3340" width="10.42578125" style="263" customWidth="1"/>
    <col min="3341" max="3344" width="10.7109375" style="263" customWidth="1"/>
    <col min="3345" max="3346" width="10.42578125" style="263" customWidth="1"/>
    <col min="3347" max="3584" width="9.140625" style="263"/>
    <col min="3585" max="3585" width="5.140625" style="263" customWidth="1"/>
    <col min="3586" max="3586" width="35.85546875" style="263" customWidth="1"/>
    <col min="3587" max="3587" width="11.5703125" style="263" customWidth="1"/>
    <col min="3588" max="3596" width="10.42578125" style="263" customWidth="1"/>
    <col min="3597" max="3600" width="10.7109375" style="263" customWidth="1"/>
    <col min="3601" max="3602" width="10.42578125" style="263" customWidth="1"/>
    <col min="3603" max="3840" width="9.140625" style="263"/>
    <col min="3841" max="3841" width="5.140625" style="263" customWidth="1"/>
    <col min="3842" max="3842" width="35.85546875" style="263" customWidth="1"/>
    <col min="3843" max="3843" width="11.5703125" style="263" customWidth="1"/>
    <col min="3844" max="3852" width="10.42578125" style="263" customWidth="1"/>
    <col min="3853" max="3856" width="10.7109375" style="263" customWidth="1"/>
    <col min="3857" max="3858" width="10.42578125" style="263" customWidth="1"/>
    <col min="3859" max="4096" width="9.140625" style="263"/>
    <col min="4097" max="4097" width="5.140625" style="263" customWidth="1"/>
    <col min="4098" max="4098" width="35.85546875" style="263" customWidth="1"/>
    <col min="4099" max="4099" width="11.5703125" style="263" customWidth="1"/>
    <col min="4100" max="4108" width="10.42578125" style="263" customWidth="1"/>
    <col min="4109" max="4112" width="10.7109375" style="263" customWidth="1"/>
    <col min="4113" max="4114" width="10.42578125" style="263" customWidth="1"/>
    <col min="4115" max="4352" width="9.140625" style="263"/>
    <col min="4353" max="4353" width="5.140625" style="263" customWidth="1"/>
    <col min="4354" max="4354" width="35.85546875" style="263" customWidth="1"/>
    <col min="4355" max="4355" width="11.5703125" style="263" customWidth="1"/>
    <col min="4356" max="4364" width="10.42578125" style="263" customWidth="1"/>
    <col min="4365" max="4368" width="10.7109375" style="263" customWidth="1"/>
    <col min="4369" max="4370" width="10.42578125" style="263" customWidth="1"/>
    <col min="4371" max="4608" width="9.140625" style="263"/>
    <col min="4609" max="4609" width="5.140625" style="263" customWidth="1"/>
    <col min="4610" max="4610" width="35.85546875" style="263" customWidth="1"/>
    <col min="4611" max="4611" width="11.5703125" style="263" customWidth="1"/>
    <col min="4612" max="4620" width="10.42578125" style="263" customWidth="1"/>
    <col min="4621" max="4624" width="10.7109375" style="263" customWidth="1"/>
    <col min="4625" max="4626" width="10.42578125" style="263" customWidth="1"/>
    <col min="4627" max="4864" width="9.140625" style="263"/>
    <col min="4865" max="4865" width="5.140625" style="263" customWidth="1"/>
    <col min="4866" max="4866" width="35.85546875" style="263" customWidth="1"/>
    <col min="4867" max="4867" width="11.5703125" style="263" customWidth="1"/>
    <col min="4868" max="4876" width="10.42578125" style="263" customWidth="1"/>
    <col min="4877" max="4880" width="10.7109375" style="263" customWidth="1"/>
    <col min="4881" max="4882" width="10.42578125" style="263" customWidth="1"/>
    <col min="4883" max="5120" width="9.140625" style="263"/>
    <col min="5121" max="5121" width="5.140625" style="263" customWidth="1"/>
    <col min="5122" max="5122" width="35.85546875" style="263" customWidth="1"/>
    <col min="5123" max="5123" width="11.5703125" style="263" customWidth="1"/>
    <col min="5124" max="5132" width="10.42578125" style="263" customWidth="1"/>
    <col min="5133" max="5136" width="10.7109375" style="263" customWidth="1"/>
    <col min="5137" max="5138" width="10.42578125" style="263" customWidth="1"/>
    <col min="5139" max="5376" width="9.140625" style="263"/>
    <col min="5377" max="5377" width="5.140625" style="263" customWidth="1"/>
    <col min="5378" max="5378" width="35.85546875" style="263" customWidth="1"/>
    <col min="5379" max="5379" width="11.5703125" style="263" customWidth="1"/>
    <col min="5380" max="5388" width="10.42578125" style="263" customWidth="1"/>
    <col min="5389" max="5392" width="10.7109375" style="263" customWidth="1"/>
    <col min="5393" max="5394" width="10.42578125" style="263" customWidth="1"/>
    <col min="5395" max="5632" width="9.140625" style="263"/>
    <col min="5633" max="5633" width="5.140625" style="263" customWidth="1"/>
    <col min="5634" max="5634" width="35.85546875" style="263" customWidth="1"/>
    <col min="5635" max="5635" width="11.5703125" style="263" customWidth="1"/>
    <col min="5636" max="5644" width="10.42578125" style="263" customWidth="1"/>
    <col min="5645" max="5648" width="10.7109375" style="263" customWidth="1"/>
    <col min="5649" max="5650" width="10.42578125" style="263" customWidth="1"/>
    <col min="5651" max="5888" width="9.140625" style="263"/>
    <col min="5889" max="5889" width="5.140625" style="263" customWidth="1"/>
    <col min="5890" max="5890" width="35.85546875" style="263" customWidth="1"/>
    <col min="5891" max="5891" width="11.5703125" style="263" customWidth="1"/>
    <col min="5892" max="5900" width="10.42578125" style="263" customWidth="1"/>
    <col min="5901" max="5904" width="10.7109375" style="263" customWidth="1"/>
    <col min="5905" max="5906" width="10.42578125" style="263" customWidth="1"/>
    <col min="5907" max="6144" width="9.140625" style="263"/>
    <col min="6145" max="6145" width="5.140625" style="263" customWidth="1"/>
    <col min="6146" max="6146" width="35.85546875" style="263" customWidth="1"/>
    <col min="6147" max="6147" width="11.5703125" style="263" customWidth="1"/>
    <col min="6148" max="6156" width="10.42578125" style="263" customWidth="1"/>
    <col min="6157" max="6160" width="10.7109375" style="263" customWidth="1"/>
    <col min="6161" max="6162" width="10.42578125" style="263" customWidth="1"/>
    <col min="6163" max="6400" width="9.140625" style="263"/>
    <col min="6401" max="6401" width="5.140625" style="263" customWidth="1"/>
    <col min="6402" max="6402" width="35.85546875" style="263" customWidth="1"/>
    <col min="6403" max="6403" width="11.5703125" style="263" customWidth="1"/>
    <col min="6404" max="6412" width="10.42578125" style="263" customWidth="1"/>
    <col min="6413" max="6416" width="10.7109375" style="263" customWidth="1"/>
    <col min="6417" max="6418" width="10.42578125" style="263" customWidth="1"/>
    <col min="6419" max="6656" width="9.140625" style="263"/>
    <col min="6657" max="6657" width="5.140625" style="263" customWidth="1"/>
    <col min="6658" max="6658" width="35.85546875" style="263" customWidth="1"/>
    <col min="6659" max="6659" width="11.5703125" style="263" customWidth="1"/>
    <col min="6660" max="6668" width="10.42578125" style="263" customWidth="1"/>
    <col min="6669" max="6672" width="10.7109375" style="263" customWidth="1"/>
    <col min="6673" max="6674" width="10.42578125" style="263" customWidth="1"/>
    <col min="6675" max="6912" width="9.140625" style="263"/>
    <col min="6913" max="6913" width="5.140625" style="263" customWidth="1"/>
    <col min="6914" max="6914" width="35.85546875" style="263" customWidth="1"/>
    <col min="6915" max="6915" width="11.5703125" style="263" customWidth="1"/>
    <col min="6916" max="6924" width="10.42578125" style="263" customWidth="1"/>
    <col min="6925" max="6928" width="10.7109375" style="263" customWidth="1"/>
    <col min="6929" max="6930" width="10.42578125" style="263" customWidth="1"/>
    <col min="6931" max="7168" width="9.140625" style="263"/>
    <col min="7169" max="7169" width="5.140625" style="263" customWidth="1"/>
    <col min="7170" max="7170" width="35.85546875" style="263" customWidth="1"/>
    <col min="7171" max="7171" width="11.5703125" style="263" customWidth="1"/>
    <col min="7172" max="7180" width="10.42578125" style="263" customWidth="1"/>
    <col min="7181" max="7184" width="10.7109375" style="263" customWidth="1"/>
    <col min="7185" max="7186" width="10.42578125" style="263" customWidth="1"/>
    <col min="7187" max="7424" width="9.140625" style="263"/>
    <col min="7425" max="7425" width="5.140625" style="263" customWidth="1"/>
    <col min="7426" max="7426" width="35.85546875" style="263" customWidth="1"/>
    <col min="7427" max="7427" width="11.5703125" style="263" customWidth="1"/>
    <col min="7428" max="7436" width="10.42578125" style="263" customWidth="1"/>
    <col min="7437" max="7440" width="10.7109375" style="263" customWidth="1"/>
    <col min="7441" max="7442" width="10.42578125" style="263" customWidth="1"/>
    <col min="7443" max="7680" width="9.140625" style="263"/>
    <col min="7681" max="7681" width="5.140625" style="263" customWidth="1"/>
    <col min="7682" max="7682" width="35.85546875" style="263" customWidth="1"/>
    <col min="7683" max="7683" width="11.5703125" style="263" customWidth="1"/>
    <col min="7684" max="7692" width="10.42578125" style="263" customWidth="1"/>
    <col min="7693" max="7696" width="10.7109375" style="263" customWidth="1"/>
    <col min="7697" max="7698" width="10.42578125" style="263" customWidth="1"/>
    <col min="7699" max="7936" width="9.140625" style="263"/>
    <col min="7937" max="7937" width="5.140625" style="263" customWidth="1"/>
    <col min="7938" max="7938" width="35.85546875" style="263" customWidth="1"/>
    <col min="7939" max="7939" width="11.5703125" style="263" customWidth="1"/>
    <col min="7940" max="7948" width="10.42578125" style="263" customWidth="1"/>
    <col min="7949" max="7952" width="10.7109375" style="263" customWidth="1"/>
    <col min="7953" max="7954" width="10.42578125" style="263" customWidth="1"/>
    <col min="7955" max="8192" width="9.140625" style="263"/>
    <col min="8193" max="8193" width="5.140625" style="263" customWidth="1"/>
    <col min="8194" max="8194" width="35.85546875" style="263" customWidth="1"/>
    <col min="8195" max="8195" width="11.5703125" style="263" customWidth="1"/>
    <col min="8196" max="8204" width="10.42578125" style="263" customWidth="1"/>
    <col min="8205" max="8208" width="10.7109375" style="263" customWidth="1"/>
    <col min="8209" max="8210" width="10.42578125" style="263" customWidth="1"/>
    <col min="8211" max="8448" width="9.140625" style="263"/>
    <col min="8449" max="8449" width="5.140625" style="263" customWidth="1"/>
    <col min="8450" max="8450" width="35.85546875" style="263" customWidth="1"/>
    <col min="8451" max="8451" width="11.5703125" style="263" customWidth="1"/>
    <col min="8452" max="8460" width="10.42578125" style="263" customWidth="1"/>
    <col min="8461" max="8464" width="10.7109375" style="263" customWidth="1"/>
    <col min="8465" max="8466" width="10.42578125" style="263" customWidth="1"/>
    <col min="8467" max="8704" width="9.140625" style="263"/>
    <col min="8705" max="8705" width="5.140625" style="263" customWidth="1"/>
    <col min="8706" max="8706" width="35.85546875" style="263" customWidth="1"/>
    <col min="8707" max="8707" width="11.5703125" style="263" customWidth="1"/>
    <col min="8708" max="8716" width="10.42578125" style="263" customWidth="1"/>
    <col min="8717" max="8720" width="10.7109375" style="263" customWidth="1"/>
    <col min="8721" max="8722" width="10.42578125" style="263" customWidth="1"/>
    <col min="8723" max="8960" width="9.140625" style="263"/>
    <col min="8961" max="8961" width="5.140625" style="263" customWidth="1"/>
    <col min="8962" max="8962" width="35.85546875" style="263" customWidth="1"/>
    <col min="8963" max="8963" width="11.5703125" style="263" customWidth="1"/>
    <col min="8964" max="8972" width="10.42578125" style="263" customWidth="1"/>
    <col min="8973" max="8976" width="10.7109375" style="263" customWidth="1"/>
    <col min="8977" max="8978" width="10.42578125" style="263" customWidth="1"/>
    <col min="8979" max="9216" width="9.140625" style="263"/>
    <col min="9217" max="9217" width="5.140625" style="263" customWidth="1"/>
    <col min="9218" max="9218" width="35.85546875" style="263" customWidth="1"/>
    <col min="9219" max="9219" width="11.5703125" style="263" customWidth="1"/>
    <col min="9220" max="9228" width="10.42578125" style="263" customWidth="1"/>
    <col min="9229" max="9232" width="10.7109375" style="263" customWidth="1"/>
    <col min="9233" max="9234" width="10.42578125" style="263" customWidth="1"/>
    <col min="9235" max="9472" width="9.140625" style="263"/>
    <col min="9473" max="9473" width="5.140625" style="263" customWidth="1"/>
    <col min="9474" max="9474" width="35.85546875" style="263" customWidth="1"/>
    <col min="9475" max="9475" width="11.5703125" style="263" customWidth="1"/>
    <col min="9476" max="9484" width="10.42578125" style="263" customWidth="1"/>
    <col min="9485" max="9488" width="10.7109375" style="263" customWidth="1"/>
    <col min="9489" max="9490" width="10.42578125" style="263" customWidth="1"/>
    <col min="9491" max="9728" width="9.140625" style="263"/>
    <col min="9729" max="9729" width="5.140625" style="263" customWidth="1"/>
    <col min="9730" max="9730" width="35.85546875" style="263" customWidth="1"/>
    <col min="9731" max="9731" width="11.5703125" style="263" customWidth="1"/>
    <col min="9732" max="9740" width="10.42578125" style="263" customWidth="1"/>
    <col min="9741" max="9744" width="10.7109375" style="263" customWidth="1"/>
    <col min="9745" max="9746" width="10.42578125" style="263" customWidth="1"/>
    <col min="9747" max="9984" width="9.140625" style="263"/>
    <col min="9985" max="9985" width="5.140625" style="263" customWidth="1"/>
    <col min="9986" max="9986" width="35.85546875" style="263" customWidth="1"/>
    <col min="9987" max="9987" width="11.5703125" style="263" customWidth="1"/>
    <col min="9988" max="9996" width="10.42578125" style="263" customWidth="1"/>
    <col min="9997" max="10000" width="10.7109375" style="263" customWidth="1"/>
    <col min="10001" max="10002" width="10.42578125" style="263" customWidth="1"/>
    <col min="10003" max="10240" width="9.140625" style="263"/>
    <col min="10241" max="10241" width="5.140625" style="263" customWidth="1"/>
    <col min="10242" max="10242" width="35.85546875" style="263" customWidth="1"/>
    <col min="10243" max="10243" width="11.5703125" style="263" customWidth="1"/>
    <col min="10244" max="10252" width="10.42578125" style="263" customWidth="1"/>
    <col min="10253" max="10256" width="10.7109375" style="263" customWidth="1"/>
    <col min="10257" max="10258" width="10.42578125" style="263" customWidth="1"/>
    <col min="10259" max="10496" width="9.140625" style="263"/>
    <col min="10497" max="10497" width="5.140625" style="263" customWidth="1"/>
    <col min="10498" max="10498" width="35.85546875" style="263" customWidth="1"/>
    <col min="10499" max="10499" width="11.5703125" style="263" customWidth="1"/>
    <col min="10500" max="10508" width="10.42578125" style="263" customWidth="1"/>
    <col min="10509" max="10512" width="10.7109375" style="263" customWidth="1"/>
    <col min="10513" max="10514" width="10.42578125" style="263" customWidth="1"/>
    <col min="10515" max="10752" width="9.140625" style="263"/>
    <col min="10753" max="10753" width="5.140625" style="263" customWidth="1"/>
    <col min="10754" max="10754" width="35.85546875" style="263" customWidth="1"/>
    <col min="10755" max="10755" width="11.5703125" style="263" customWidth="1"/>
    <col min="10756" max="10764" width="10.42578125" style="263" customWidth="1"/>
    <col min="10765" max="10768" width="10.7109375" style="263" customWidth="1"/>
    <col min="10769" max="10770" width="10.42578125" style="263" customWidth="1"/>
    <col min="10771" max="11008" width="9.140625" style="263"/>
    <col min="11009" max="11009" width="5.140625" style="263" customWidth="1"/>
    <col min="11010" max="11010" width="35.85546875" style="263" customWidth="1"/>
    <col min="11011" max="11011" width="11.5703125" style="263" customWidth="1"/>
    <col min="11012" max="11020" width="10.42578125" style="263" customWidth="1"/>
    <col min="11021" max="11024" width="10.7109375" style="263" customWidth="1"/>
    <col min="11025" max="11026" width="10.42578125" style="263" customWidth="1"/>
    <col min="11027" max="11264" width="9.140625" style="263"/>
    <col min="11265" max="11265" width="5.140625" style="263" customWidth="1"/>
    <col min="11266" max="11266" width="35.85546875" style="263" customWidth="1"/>
    <col min="11267" max="11267" width="11.5703125" style="263" customWidth="1"/>
    <col min="11268" max="11276" width="10.42578125" style="263" customWidth="1"/>
    <col min="11277" max="11280" width="10.7109375" style="263" customWidth="1"/>
    <col min="11281" max="11282" width="10.42578125" style="263" customWidth="1"/>
    <col min="11283" max="11520" width="9.140625" style="263"/>
    <col min="11521" max="11521" width="5.140625" style="263" customWidth="1"/>
    <col min="11522" max="11522" width="35.85546875" style="263" customWidth="1"/>
    <col min="11523" max="11523" width="11.5703125" style="263" customWidth="1"/>
    <col min="11524" max="11532" width="10.42578125" style="263" customWidth="1"/>
    <col min="11533" max="11536" width="10.7109375" style="263" customWidth="1"/>
    <col min="11537" max="11538" width="10.42578125" style="263" customWidth="1"/>
    <col min="11539" max="11776" width="9.140625" style="263"/>
    <col min="11777" max="11777" width="5.140625" style="263" customWidth="1"/>
    <col min="11778" max="11778" width="35.85546875" style="263" customWidth="1"/>
    <col min="11779" max="11779" width="11.5703125" style="263" customWidth="1"/>
    <col min="11780" max="11788" width="10.42578125" style="263" customWidth="1"/>
    <col min="11789" max="11792" width="10.7109375" style="263" customWidth="1"/>
    <col min="11793" max="11794" width="10.42578125" style="263" customWidth="1"/>
    <col min="11795" max="12032" width="9.140625" style="263"/>
    <col min="12033" max="12033" width="5.140625" style="263" customWidth="1"/>
    <col min="12034" max="12034" width="35.85546875" style="263" customWidth="1"/>
    <col min="12035" max="12035" width="11.5703125" style="263" customWidth="1"/>
    <col min="12036" max="12044" width="10.42578125" style="263" customWidth="1"/>
    <col min="12045" max="12048" width="10.7109375" style="263" customWidth="1"/>
    <col min="12049" max="12050" width="10.42578125" style="263" customWidth="1"/>
    <col min="12051" max="12288" width="9.140625" style="263"/>
    <col min="12289" max="12289" width="5.140625" style="263" customWidth="1"/>
    <col min="12290" max="12290" width="35.85546875" style="263" customWidth="1"/>
    <col min="12291" max="12291" width="11.5703125" style="263" customWidth="1"/>
    <col min="12292" max="12300" width="10.42578125" style="263" customWidth="1"/>
    <col min="12301" max="12304" width="10.7109375" style="263" customWidth="1"/>
    <col min="12305" max="12306" width="10.42578125" style="263" customWidth="1"/>
    <col min="12307" max="12544" width="9.140625" style="263"/>
    <col min="12545" max="12545" width="5.140625" style="263" customWidth="1"/>
    <col min="12546" max="12546" width="35.85546875" style="263" customWidth="1"/>
    <col min="12547" max="12547" width="11.5703125" style="263" customWidth="1"/>
    <col min="12548" max="12556" width="10.42578125" style="263" customWidth="1"/>
    <col min="12557" max="12560" width="10.7109375" style="263" customWidth="1"/>
    <col min="12561" max="12562" width="10.42578125" style="263" customWidth="1"/>
    <col min="12563" max="12800" width="9.140625" style="263"/>
    <col min="12801" max="12801" width="5.140625" style="263" customWidth="1"/>
    <col min="12802" max="12802" width="35.85546875" style="263" customWidth="1"/>
    <col min="12803" max="12803" width="11.5703125" style="263" customWidth="1"/>
    <col min="12804" max="12812" width="10.42578125" style="263" customWidth="1"/>
    <col min="12813" max="12816" width="10.7109375" style="263" customWidth="1"/>
    <col min="12817" max="12818" width="10.42578125" style="263" customWidth="1"/>
    <col min="12819" max="13056" width="9.140625" style="263"/>
    <col min="13057" max="13057" width="5.140625" style="263" customWidth="1"/>
    <col min="13058" max="13058" width="35.85546875" style="263" customWidth="1"/>
    <col min="13059" max="13059" width="11.5703125" style="263" customWidth="1"/>
    <col min="13060" max="13068" width="10.42578125" style="263" customWidth="1"/>
    <col min="13069" max="13072" width="10.7109375" style="263" customWidth="1"/>
    <col min="13073" max="13074" width="10.42578125" style="263" customWidth="1"/>
    <col min="13075" max="13312" width="9.140625" style="263"/>
    <col min="13313" max="13313" width="5.140625" style="263" customWidth="1"/>
    <col min="13314" max="13314" width="35.85546875" style="263" customWidth="1"/>
    <col min="13315" max="13315" width="11.5703125" style="263" customWidth="1"/>
    <col min="13316" max="13324" width="10.42578125" style="263" customWidth="1"/>
    <col min="13325" max="13328" width="10.7109375" style="263" customWidth="1"/>
    <col min="13329" max="13330" width="10.42578125" style="263" customWidth="1"/>
    <col min="13331" max="13568" width="9.140625" style="263"/>
    <col min="13569" max="13569" width="5.140625" style="263" customWidth="1"/>
    <col min="13570" max="13570" width="35.85546875" style="263" customWidth="1"/>
    <col min="13571" max="13571" width="11.5703125" style="263" customWidth="1"/>
    <col min="13572" max="13580" width="10.42578125" style="263" customWidth="1"/>
    <col min="13581" max="13584" width="10.7109375" style="263" customWidth="1"/>
    <col min="13585" max="13586" width="10.42578125" style="263" customWidth="1"/>
    <col min="13587" max="13824" width="9.140625" style="263"/>
    <col min="13825" max="13825" width="5.140625" style="263" customWidth="1"/>
    <col min="13826" max="13826" width="35.85546875" style="263" customWidth="1"/>
    <col min="13827" max="13827" width="11.5703125" style="263" customWidth="1"/>
    <col min="13828" max="13836" width="10.42578125" style="263" customWidth="1"/>
    <col min="13837" max="13840" width="10.7109375" style="263" customWidth="1"/>
    <col min="13841" max="13842" width="10.42578125" style="263" customWidth="1"/>
    <col min="13843" max="14080" width="9.140625" style="263"/>
    <col min="14081" max="14081" width="5.140625" style="263" customWidth="1"/>
    <col min="14082" max="14082" width="35.85546875" style="263" customWidth="1"/>
    <col min="14083" max="14083" width="11.5703125" style="263" customWidth="1"/>
    <col min="14084" max="14092" width="10.42578125" style="263" customWidth="1"/>
    <col min="14093" max="14096" width="10.7109375" style="263" customWidth="1"/>
    <col min="14097" max="14098" width="10.42578125" style="263" customWidth="1"/>
    <col min="14099" max="14336" width="9.140625" style="263"/>
    <col min="14337" max="14337" width="5.140625" style="263" customWidth="1"/>
    <col min="14338" max="14338" width="35.85546875" style="263" customWidth="1"/>
    <col min="14339" max="14339" width="11.5703125" style="263" customWidth="1"/>
    <col min="14340" max="14348" width="10.42578125" style="263" customWidth="1"/>
    <col min="14349" max="14352" width="10.7109375" style="263" customWidth="1"/>
    <col min="14353" max="14354" width="10.42578125" style="263" customWidth="1"/>
    <col min="14355" max="14592" width="9.140625" style="263"/>
    <col min="14593" max="14593" width="5.140625" style="263" customWidth="1"/>
    <col min="14594" max="14594" width="35.85546875" style="263" customWidth="1"/>
    <col min="14595" max="14595" width="11.5703125" style="263" customWidth="1"/>
    <col min="14596" max="14604" width="10.42578125" style="263" customWidth="1"/>
    <col min="14605" max="14608" width="10.7109375" style="263" customWidth="1"/>
    <col min="14609" max="14610" width="10.42578125" style="263" customWidth="1"/>
    <col min="14611" max="14848" width="9.140625" style="263"/>
    <col min="14849" max="14849" width="5.140625" style="263" customWidth="1"/>
    <col min="14850" max="14850" width="35.85546875" style="263" customWidth="1"/>
    <col min="14851" max="14851" width="11.5703125" style="263" customWidth="1"/>
    <col min="14852" max="14860" width="10.42578125" style="263" customWidth="1"/>
    <col min="14861" max="14864" width="10.7109375" style="263" customWidth="1"/>
    <col min="14865" max="14866" width="10.42578125" style="263" customWidth="1"/>
    <col min="14867" max="15104" width="9.140625" style="263"/>
    <col min="15105" max="15105" width="5.140625" style="263" customWidth="1"/>
    <col min="15106" max="15106" width="35.85546875" style="263" customWidth="1"/>
    <col min="15107" max="15107" width="11.5703125" style="263" customWidth="1"/>
    <col min="15108" max="15116" width="10.42578125" style="263" customWidth="1"/>
    <col min="15117" max="15120" width="10.7109375" style="263" customWidth="1"/>
    <col min="15121" max="15122" width="10.42578125" style="263" customWidth="1"/>
    <col min="15123" max="15360" width="9.140625" style="263"/>
    <col min="15361" max="15361" width="5.140625" style="263" customWidth="1"/>
    <col min="15362" max="15362" width="35.85546875" style="263" customWidth="1"/>
    <col min="15363" max="15363" width="11.5703125" style="263" customWidth="1"/>
    <col min="15364" max="15372" width="10.42578125" style="263" customWidth="1"/>
    <col min="15373" max="15376" width="10.7109375" style="263" customWidth="1"/>
    <col min="15377" max="15378" width="10.42578125" style="263" customWidth="1"/>
    <col min="15379" max="15616" width="9.140625" style="263"/>
    <col min="15617" max="15617" width="5.140625" style="263" customWidth="1"/>
    <col min="15618" max="15618" width="35.85546875" style="263" customWidth="1"/>
    <col min="15619" max="15619" width="11.5703125" style="263" customWidth="1"/>
    <col min="15620" max="15628" width="10.42578125" style="263" customWidth="1"/>
    <col min="15629" max="15632" width="10.7109375" style="263" customWidth="1"/>
    <col min="15633" max="15634" width="10.42578125" style="263" customWidth="1"/>
    <col min="15635" max="15872" width="9.140625" style="263"/>
    <col min="15873" max="15873" width="5.140625" style="263" customWidth="1"/>
    <col min="15874" max="15874" width="35.85546875" style="263" customWidth="1"/>
    <col min="15875" max="15875" width="11.5703125" style="263" customWidth="1"/>
    <col min="15876" max="15884" width="10.42578125" style="263" customWidth="1"/>
    <col min="15885" max="15888" width="10.7109375" style="263" customWidth="1"/>
    <col min="15889" max="15890" width="10.42578125" style="263" customWidth="1"/>
    <col min="15891" max="16128" width="9.140625" style="263"/>
    <col min="16129" max="16129" width="5.140625" style="263" customWidth="1"/>
    <col min="16130" max="16130" width="35.85546875" style="263" customWidth="1"/>
    <col min="16131" max="16131" width="11.5703125" style="263" customWidth="1"/>
    <col min="16132" max="16140" width="10.42578125" style="263" customWidth="1"/>
    <col min="16141" max="16144" width="10.7109375" style="263" customWidth="1"/>
    <col min="16145" max="16146" width="10.42578125" style="263" customWidth="1"/>
    <col min="16147" max="16384" width="9.140625" style="263"/>
  </cols>
  <sheetData>
    <row r="1" spans="1:19" ht="21" customHeight="1">
      <c r="A1" s="259"/>
      <c r="B1" s="259"/>
      <c r="C1" s="260"/>
      <c r="D1" s="260"/>
      <c r="E1" s="260"/>
      <c r="F1" s="260"/>
      <c r="G1" s="261"/>
      <c r="H1" s="261"/>
      <c r="I1" s="261"/>
      <c r="J1" s="261"/>
      <c r="K1" s="261"/>
      <c r="L1" s="260"/>
      <c r="M1" s="260"/>
      <c r="N1" s="260"/>
      <c r="O1" s="260"/>
      <c r="P1" s="285"/>
      <c r="Q1" s="285"/>
      <c r="R1" s="262" t="s">
        <v>261</v>
      </c>
    </row>
    <row r="2" spans="1:19" ht="21" customHeight="1">
      <c r="A2" s="1110" t="s">
        <v>262</v>
      </c>
      <c r="B2" s="1110"/>
      <c r="C2" s="1110"/>
      <c r="D2" s="1110"/>
      <c r="E2" s="1110"/>
      <c r="F2" s="1110"/>
      <c r="G2" s="1110"/>
      <c r="H2" s="1110"/>
      <c r="I2" s="1110"/>
      <c r="J2" s="1110"/>
      <c r="K2" s="1110"/>
      <c r="L2" s="1110"/>
      <c r="M2" s="1110"/>
      <c r="N2" s="1110"/>
      <c r="O2" s="1110"/>
      <c r="P2" s="1110"/>
      <c r="Q2" s="1110"/>
      <c r="R2" s="1110"/>
    </row>
    <row r="3" spans="1:19" ht="18" customHeight="1">
      <c r="A3" s="1111" t="s">
        <v>688</v>
      </c>
      <c r="B3" s="1111"/>
      <c r="C3" s="1111"/>
      <c r="D3" s="1111"/>
      <c r="E3" s="1111"/>
      <c r="F3" s="1111"/>
      <c r="G3" s="1111"/>
      <c r="H3" s="1111"/>
      <c r="I3" s="1111"/>
      <c r="J3" s="1111"/>
      <c r="K3" s="1111"/>
      <c r="L3" s="1111"/>
      <c r="M3" s="1111"/>
      <c r="N3" s="1111"/>
      <c r="O3" s="1111"/>
      <c r="P3" s="1111"/>
      <c r="Q3" s="1111"/>
      <c r="R3" s="1111"/>
    </row>
    <row r="4" spans="1:19" ht="19.5" customHeight="1">
      <c r="A4" s="265"/>
      <c r="B4" s="265"/>
      <c r="C4" s="266"/>
      <c r="D4" s="266"/>
      <c r="E4" s="266"/>
      <c r="F4" s="266"/>
      <c r="G4" s="264"/>
      <c r="H4" s="264"/>
      <c r="I4" s="264"/>
      <c r="J4" s="264"/>
      <c r="K4" s="264"/>
      <c r="L4" s="264"/>
      <c r="M4" s="264"/>
      <c r="N4" s="264"/>
      <c r="O4" s="264"/>
      <c r="P4" s="264"/>
      <c r="Q4" s="264"/>
      <c r="R4" s="267" t="s">
        <v>2</v>
      </c>
    </row>
    <row r="5" spans="1:19" s="268" customFormat="1" ht="21.95" customHeight="1">
      <c r="A5" s="1108" t="s">
        <v>3</v>
      </c>
      <c r="B5" s="1113" t="s">
        <v>88</v>
      </c>
      <c r="C5" s="1108" t="s">
        <v>89</v>
      </c>
      <c r="D5" s="1108" t="s">
        <v>263</v>
      </c>
      <c r="E5" s="1108" t="s">
        <v>264</v>
      </c>
      <c r="F5" s="1108" t="s">
        <v>50</v>
      </c>
      <c r="G5" s="1108" t="s">
        <v>51</v>
      </c>
      <c r="H5" s="1108" t="s">
        <v>52</v>
      </c>
      <c r="I5" s="1108" t="s">
        <v>53</v>
      </c>
      <c r="J5" s="1108" t="s">
        <v>54</v>
      </c>
      <c r="K5" s="1108" t="s">
        <v>55</v>
      </c>
      <c r="L5" s="1108" t="s">
        <v>56</v>
      </c>
      <c r="M5" s="1108" t="s">
        <v>57</v>
      </c>
      <c r="N5" s="1108" t="s">
        <v>40</v>
      </c>
      <c r="O5" s="1108"/>
      <c r="P5" s="1108" t="s">
        <v>58</v>
      </c>
      <c r="Q5" s="1108" t="s">
        <v>59</v>
      </c>
      <c r="R5" s="1109" t="s">
        <v>60</v>
      </c>
      <c r="S5" s="311"/>
    </row>
    <row r="6" spans="1:19" s="268" customFormat="1" ht="9.9499999999999993" customHeight="1">
      <c r="A6" s="1112"/>
      <c r="B6" s="1114"/>
      <c r="C6" s="1108"/>
      <c r="D6" s="1108"/>
      <c r="E6" s="1108"/>
      <c r="F6" s="1108"/>
      <c r="G6" s="1108"/>
      <c r="H6" s="1108"/>
      <c r="I6" s="1108"/>
      <c r="J6" s="1108"/>
      <c r="K6" s="1108"/>
      <c r="L6" s="1108"/>
      <c r="M6" s="1108"/>
      <c r="N6" s="1108" t="s">
        <v>266</v>
      </c>
      <c r="O6" s="1108" t="s">
        <v>267</v>
      </c>
      <c r="P6" s="1108"/>
      <c r="Q6" s="1108"/>
      <c r="R6" s="1109"/>
      <c r="S6" s="311"/>
    </row>
    <row r="7" spans="1:19" s="268" customFormat="1" ht="9.9499999999999993" customHeight="1">
      <c r="A7" s="1112"/>
      <c r="B7" s="1114"/>
      <c r="C7" s="1108"/>
      <c r="D7" s="1108"/>
      <c r="E7" s="1108"/>
      <c r="F7" s="1108"/>
      <c r="G7" s="1108"/>
      <c r="H7" s="1108"/>
      <c r="I7" s="1108"/>
      <c r="J7" s="1108"/>
      <c r="K7" s="1108"/>
      <c r="L7" s="1108"/>
      <c r="M7" s="1108"/>
      <c r="N7" s="1108"/>
      <c r="O7" s="1108"/>
      <c r="P7" s="1108"/>
      <c r="Q7" s="1108"/>
      <c r="R7" s="1109"/>
      <c r="S7" s="311"/>
    </row>
    <row r="8" spans="1:19" s="268" customFormat="1" ht="53.45" customHeight="1">
      <c r="A8" s="1112"/>
      <c r="B8" s="1115"/>
      <c r="C8" s="1108"/>
      <c r="D8" s="1108"/>
      <c r="E8" s="1108"/>
      <c r="F8" s="1108"/>
      <c r="G8" s="1108"/>
      <c r="H8" s="1108"/>
      <c r="I8" s="1108"/>
      <c r="J8" s="1108"/>
      <c r="K8" s="1108"/>
      <c r="L8" s="1108"/>
      <c r="M8" s="1108"/>
      <c r="N8" s="1108"/>
      <c r="O8" s="1108"/>
      <c r="P8" s="1108"/>
      <c r="Q8" s="1108"/>
      <c r="R8" s="1109"/>
      <c r="S8" s="311"/>
    </row>
    <row r="9" spans="1:19" s="282" customFormat="1" ht="17.25" customHeight="1">
      <c r="A9" s="278" t="s">
        <v>10</v>
      </c>
      <c r="B9" s="278" t="s">
        <v>11</v>
      </c>
      <c r="C9" s="278">
        <v>1</v>
      </c>
      <c r="D9" s="312">
        <f>C9+1</f>
        <v>2</v>
      </c>
      <c r="E9" s="312">
        <f t="shared" ref="E9:R9" si="0">D9+1</f>
        <v>3</v>
      </c>
      <c r="F9" s="312">
        <f t="shared" si="0"/>
        <v>4</v>
      </c>
      <c r="G9" s="312">
        <f t="shared" si="0"/>
        <v>5</v>
      </c>
      <c r="H9" s="312">
        <f t="shared" si="0"/>
        <v>6</v>
      </c>
      <c r="I9" s="312">
        <f t="shared" si="0"/>
        <v>7</v>
      </c>
      <c r="J9" s="312">
        <f t="shared" si="0"/>
        <v>8</v>
      </c>
      <c r="K9" s="312">
        <f t="shared" si="0"/>
        <v>9</v>
      </c>
      <c r="L9" s="312">
        <f t="shared" si="0"/>
        <v>10</v>
      </c>
      <c r="M9" s="312">
        <f t="shared" si="0"/>
        <v>11</v>
      </c>
      <c r="N9" s="312">
        <f t="shared" si="0"/>
        <v>12</v>
      </c>
      <c r="O9" s="312">
        <f t="shared" si="0"/>
        <v>13</v>
      </c>
      <c r="P9" s="312">
        <f t="shared" si="0"/>
        <v>14</v>
      </c>
      <c r="Q9" s="312">
        <f t="shared" si="0"/>
        <v>15</v>
      </c>
      <c r="R9" s="313">
        <f t="shared" si="0"/>
        <v>16</v>
      </c>
      <c r="S9" s="314"/>
    </row>
    <row r="10" spans="1:19" s="319" customFormat="1" ht="18.75">
      <c r="A10" s="315"/>
      <c r="B10" s="316" t="s">
        <v>102</v>
      </c>
      <c r="C10" s="317">
        <f t="shared" ref="C10:R10" si="1">SUM(C11:C52)</f>
        <v>492267.23333899997</v>
      </c>
      <c r="D10" s="317">
        <f t="shared" si="1"/>
        <v>15208.663400000001</v>
      </c>
      <c r="E10" s="317">
        <f t="shared" si="1"/>
        <v>0</v>
      </c>
      <c r="F10" s="317">
        <f t="shared" si="1"/>
        <v>25368</v>
      </c>
      <c r="G10" s="317">
        <f t="shared" si="1"/>
        <v>0</v>
      </c>
      <c r="H10" s="317">
        <f t="shared" si="1"/>
        <v>116054.5646</v>
      </c>
      <c r="I10" s="317">
        <f t="shared" si="1"/>
        <v>51710.700425999996</v>
      </c>
      <c r="J10" s="317">
        <f t="shared" si="1"/>
        <v>25127</v>
      </c>
      <c r="K10" s="317">
        <f t="shared" si="1"/>
        <v>51579.573126000003</v>
      </c>
      <c r="L10" s="317">
        <f t="shared" si="1"/>
        <v>0</v>
      </c>
      <c r="M10" s="317">
        <f>SUM(M11:M52)</f>
        <v>195284.97667500001</v>
      </c>
      <c r="N10" s="317">
        <f t="shared" si="1"/>
        <v>162106.26267500001</v>
      </c>
      <c r="O10" s="317">
        <f t="shared" si="1"/>
        <v>33178.714</v>
      </c>
      <c r="P10" s="317">
        <f>SUM(P11:P52)</f>
        <v>8440.7288120000048</v>
      </c>
      <c r="Q10" s="317">
        <f t="shared" si="1"/>
        <v>3493.0263</v>
      </c>
      <c r="R10" s="317">
        <f t="shared" si="1"/>
        <v>0</v>
      </c>
      <c r="S10" s="318"/>
    </row>
    <row r="11" spans="1:19" s="323" customFormat="1" hidden="1" outlineLevel="1">
      <c r="A11" s="320">
        <v>1</v>
      </c>
      <c r="B11" s="321" t="s">
        <v>415</v>
      </c>
      <c r="C11" s="33">
        <f>SUM(D11:M11)+SUM(P11:R11)</f>
        <v>0</v>
      </c>
      <c r="D11" s="33">
        <v>0</v>
      </c>
      <c r="E11" s="33">
        <v>0</v>
      </c>
      <c r="F11" s="33">
        <v>0</v>
      </c>
      <c r="G11" s="33">
        <v>0</v>
      </c>
      <c r="H11" s="33">
        <v>0</v>
      </c>
      <c r="I11" s="33">
        <v>0</v>
      </c>
      <c r="J11" s="33">
        <v>0</v>
      </c>
      <c r="K11" s="33">
        <v>0</v>
      </c>
      <c r="L11" s="33">
        <v>0</v>
      </c>
      <c r="M11" s="33">
        <f>N11+O11</f>
        <v>0</v>
      </c>
      <c r="N11" s="33">
        <v>0</v>
      </c>
      <c r="O11" s="33">
        <v>0</v>
      </c>
      <c r="P11" s="33">
        <v>0</v>
      </c>
      <c r="Q11" s="33">
        <v>0</v>
      </c>
      <c r="R11" s="33">
        <v>0</v>
      </c>
      <c r="S11" s="322"/>
    </row>
    <row r="12" spans="1:19" s="323" customFormat="1" collapsed="1">
      <c r="A12" s="320">
        <v>1</v>
      </c>
      <c r="B12" s="321" t="s">
        <v>268</v>
      </c>
      <c r="C12" s="33">
        <f t="shared" ref="C12:C52" si="2">SUM(D12:M12)+SUM(P12:R12)</f>
        <v>9318.6634000000013</v>
      </c>
      <c r="D12" s="33">
        <v>9318.6634000000013</v>
      </c>
      <c r="E12" s="33">
        <v>0</v>
      </c>
      <c r="F12" s="33">
        <v>0</v>
      </c>
      <c r="G12" s="33">
        <v>0</v>
      </c>
      <c r="H12" s="33">
        <v>0</v>
      </c>
      <c r="I12" s="33">
        <v>0</v>
      </c>
      <c r="J12" s="33">
        <v>0</v>
      </c>
      <c r="K12" s="33">
        <v>0</v>
      </c>
      <c r="L12" s="33">
        <v>0</v>
      </c>
      <c r="M12" s="33">
        <f t="shared" ref="M12:M52" si="3">N12+O12</f>
        <v>0</v>
      </c>
      <c r="N12" s="33">
        <v>0</v>
      </c>
      <c r="O12" s="33">
        <v>0</v>
      </c>
      <c r="P12" s="33">
        <v>0</v>
      </c>
      <c r="Q12" s="33">
        <v>0</v>
      </c>
      <c r="R12" s="33">
        <v>0</v>
      </c>
      <c r="S12" s="322"/>
    </row>
    <row r="13" spans="1:19" s="323" customFormat="1">
      <c r="A13" s="320">
        <v>2</v>
      </c>
      <c r="B13" s="321" t="s">
        <v>834</v>
      </c>
      <c r="C13" s="33">
        <f t="shared" si="2"/>
        <v>31790</v>
      </c>
      <c r="D13" s="33">
        <v>0</v>
      </c>
      <c r="E13" s="33">
        <v>0</v>
      </c>
      <c r="F13" s="33">
        <v>0</v>
      </c>
      <c r="G13" s="33">
        <v>0</v>
      </c>
      <c r="H13" s="33">
        <v>0</v>
      </c>
      <c r="I13" s="33">
        <v>0</v>
      </c>
      <c r="J13" s="33">
        <v>0</v>
      </c>
      <c r="K13" s="33">
        <v>0</v>
      </c>
      <c r="L13" s="33">
        <v>0</v>
      </c>
      <c r="M13" s="33">
        <f t="shared" si="3"/>
        <v>31790</v>
      </c>
      <c r="N13" s="33">
        <v>31790</v>
      </c>
      <c r="O13" s="33">
        <v>0</v>
      </c>
      <c r="P13" s="33">
        <v>0</v>
      </c>
      <c r="Q13" s="33">
        <v>0</v>
      </c>
      <c r="R13" s="33">
        <v>0</v>
      </c>
      <c r="S13" s="322"/>
    </row>
    <row r="14" spans="1:19" s="323" customFormat="1">
      <c r="A14" s="320">
        <v>3</v>
      </c>
      <c r="B14" s="321" t="s">
        <v>269</v>
      </c>
      <c r="C14" s="33">
        <f t="shared" si="2"/>
        <v>11586.545974999999</v>
      </c>
      <c r="D14" s="33">
        <v>0</v>
      </c>
      <c r="E14" s="33">
        <v>0</v>
      </c>
      <c r="F14" s="33">
        <v>0</v>
      </c>
      <c r="G14" s="33">
        <v>0</v>
      </c>
      <c r="H14" s="33">
        <v>0</v>
      </c>
      <c r="I14" s="33">
        <v>0</v>
      </c>
      <c r="J14" s="33">
        <v>0</v>
      </c>
      <c r="K14" s="33">
        <v>0</v>
      </c>
      <c r="L14" s="33">
        <v>0</v>
      </c>
      <c r="M14" s="33">
        <f t="shared" si="3"/>
        <v>11586.545974999999</v>
      </c>
      <c r="N14" s="33">
        <v>11586.545974999999</v>
      </c>
      <c r="O14" s="33">
        <v>0</v>
      </c>
      <c r="P14" s="33">
        <v>0</v>
      </c>
      <c r="Q14" s="33">
        <v>0</v>
      </c>
      <c r="R14" s="33">
        <v>0</v>
      </c>
      <c r="S14" s="322"/>
    </row>
    <row r="15" spans="1:19" s="325" customFormat="1" ht="15.95" hidden="1" customHeight="1" outlineLevel="1">
      <c r="A15" s="320">
        <v>4</v>
      </c>
      <c r="B15" s="321" t="s">
        <v>835</v>
      </c>
      <c r="C15" s="33">
        <f t="shared" si="2"/>
        <v>0</v>
      </c>
      <c r="D15" s="33">
        <v>0</v>
      </c>
      <c r="E15" s="33">
        <v>0</v>
      </c>
      <c r="F15" s="33">
        <v>0</v>
      </c>
      <c r="G15" s="33">
        <v>0</v>
      </c>
      <c r="H15" s="33">
        <v>0</v>
      </c>
      <c r="I15" s="33">
        <v>0</v>
      </c>
      <c r="J15" s="33">
        <v>0</v>
      </c>
      <c r="K15" s="33">
        <v>0</v>
      </c>
      <c r="L15" s="33">
        <v>0</v>
      </c>
      <c r="M15" s="33">
        <f t="shared" si="3"/>
        <v>0</v>
      </c>
      <c r="N15" s="33">
        <v>0</v>
      </c>
      <c r="O15" s="33">
        <v>0</v>
      </c>
      <c r="P15" s="33">
        <v>0</v>
      </c>
      <c r="Q15" s="33">
        <v>0</v>
      </c>
      <c r="R15" s="33">
        <v>0</v>
      </c>
      <c r="S15" s="324"/>
    </row>
    <row r="16" spans="1:19" s="325" customFormat="1" ht="25.5" customHeight="1" collapsed="1">
      <c r="A16" s="320">
        <v>4</v>
      </c>
      <c r="B16" s="321" t="s">
        <v>836</v>
      </c>
      <c r="C16" s="33">
        <f t="shared" si="2"/>
        <v>3493.0263</v>
      </c>
      <c r="D16" s="33">
        <v>0</v>
      </c>
      <c r="E16" s="33">
        <v>0</v>
      </c>
      <c r="F16" s="33">
        <v>0</v>
      </c>
      <c r="G16" s="33">
        <v>0</v>
      </c>
      <c r="H16" s="33">
        <v>0</v>
      </c>
      <c r="I16" s="33">
        <v>0</v>
      </c>
      <c r="J16" s="33">
        <v>0</v>
      </c>
      <c r="K16" s="33">
        <v>0</v>
      </c>
      <c r="L16" s="33">
        <v>0</v>
      </c>
      <c r="M16" s="33">
        <f t="shared" si="3"/>
        <v>0</v>
      </c>
      <c r="N16" s="33">
        <v>0</v>
      </c>
      <c r="O16" s="33">
        <v>0</v>
      </c>
      <c r="P16" s="33">
        <v>0</v>
      </c>
      <c r="Q16" s="33">
        <v>3493.0263</v>
      </c>
      <c r="R16" s="33">
        <v>0</v>
      </c>
      <c r="S16" s="324"/>
    </row>
    <row r="17" spans="1:19" s="325" customFormat="1" ht="25.5" customHeight="1">
      <c r="A17" s="320">
        <v>5</v>
      </c>
      <c r="B17" s="321" t="s">
        <v>141</v>
      </c>
      <c r="C17" s="33">
        <f t="shared" si="2"/>
        <v>873.03181200000108</v>
      </c>
      <c r="D17" s="33">
        <v>0</v>
      </c>
      <c r="E17" s="33">
        <v>0</v>
      </c>
      <c r="F17" s="33">
        <v>0</v>
      </c>
      <c r="G17" s="33">
        <v>0</v>
      </c>
      <c r="H17" s="33">
        <v>0</v>
      </c>
      <c r="I17" s="33">
        <v>0</v>
      </c>
      <c r="J17" s="33">
        <v>0</v>
      </c>
      <c r="K17" s="33">
        <v>0</v>
      </c>
      <c r="L17" s="33">
        <v>0</v>
      </c>
      <c r="M17" s="33">
        <f t="shared" si="3"/>
        <v>0</v>
      </c>
      <c r="N17" s="33">
        <v>0</v>
      </c>
      <c r="O17" s="33">
        <v>0</v>
      </c>
      <c r="P17" s="33">
        <v>873.03181200000108</v>
      </c>
      <c r="Q17" s="33">
        <v>0</v>
      </c>
      <c r="R17" s="33">
        <v>0</v>
      </c>
      <c r="S17" s="324"/>
    </row>
    <row r="18" spans="1:19" s="325" customFormat="1" ht="31.5">
      <c r="A18" s="320">
        <v>6</v>
      </c>
      <c r="B18" s="321" t="s">
        <v>837</v>
      </c>
      <c r="C18" s="33">
        <f t="shared" si="2"/>
        <v>1619.2190000000001</v>
      </c>
      <c r="D18" s="33">
        <v>0</v>
      </c>
      <c r="E18" s="33">
        <v>0</v>
      </c>
      <c r="F18" s="33">
        <v>0</v>
      </c>
      <c r="G18" s="33">
        <v>0</v>
      </c>
      <c r="H18" s="33">
        <v>0</v>
      </c>
      <c r="I18" s="33">
        <v>0</v>
      </c>
      <c r="J18" s="33">
        <v>0</v>
      </c>
      <c r="K18" s="33">
        <v>0</v>
      </c>
      <c r="L18" s="33">
        <v>0</v>
      </c>
      <c r="M18" s="33">
        <f t="shared" si="3"/>
        <v>1619.2190000000001</v>
      </c>
      <c r="N18" s="33">
        <v>0</v>
      </c>
      <c r="O18" s="33">
        <v>1619.2190000000001</v>
      </c>
      <c r="P18" s="33">
        <v>0</v>
      </c>
      <c r="Q18" s="33">
        <v>0</v>
      </c>
      <c r="R18" s="33">
        <v>0</v>
      </c>
      <c r="S18" s="324"/>
    </row>
    <row r="19" spans="1:19" s="325" customFormat="1">
      <c r="A19" s="320">
        <v>7</v>
      </c>
      <c r="B19" s="321" t="s">
        <v>838</v>
      </c>
      <c r="C19" s="33">
        <f t="shared" si="2"/>
        <v>30000</v>
      </c>
      <c r="D19" s="33">
        <v>0</v>
      </c>
      <c r="E19" s="33">
        <v>0</v>
      </c>
      <c r="F19" s="33">
        <v>0</v>
      </c>
      <c r="G19" s="33">
        <v>0</v>
      </c>
      <c r="H19" s="33">
        <v>0</v>
      </c>
      <c r="I19" s="33">
        <v>0</v>
      </c>
      <c r="J19" s="33">
        <v>0</v>
      </c>
      <c r="K19" s="33">
        <v>0</v>
      </c>
      <c r="L19" s="33">
        <v>0</v>
      </c>
      <c r="M19" s="33">
        <f t="shared" si="3"/>
        <v>30000</v>
      </c>
      <c r="N19" s="33">
        <v>30000</v>
      </c>
      <c r="O19" s="33">
        <v>0</v>
      </c>
      <c r="P19" s="33">
        <v>0</v>
      </c>
      <c r="Q19" s="33">
        <v>0</v>
      </c>
      <c r="R19" s="33">
        <v>0</v>
      </c>
      <c r="S19" s="324"/>
    </row>
    <row r="20" spans="1:19" s="325" customFormat="1" hidden="1" outlineLevel="1">
      <c r="A20" s="320">
        <v>10</v>
      </c>
      <c r="B20" s="321" t="s">
        <v>839</v>
      </c>
      <c r="C20" s="33">
        <f t="shared" si="2"/>
        <v>0</v>
      </c>
      <c r="D20" s="33">
        <v>0</v>
      </c>
      <c r="E20" s="33">
        <v>0</v>
      </c>
      <c r="F20" s="33">
        <v>0</v>
      </c>
      <c r="G20" s="33">
        <v>0</v>
      </c>
      <c r="H20" s="33">
        <v>0</v>
      </c>
      <c r="I20" s="33">
        <v>0</v>
      </c>
      <c r="J20" s="33">
        <v>0</v>
      </c>
      <c r="K20" s="33">
        <v>0</v>
      </c>
      <c r="L20" s="33">
        <v>0</v>
      </c>
      <c r="M20" s="33">
        <f t="shared" si="3"/>
        <v>0</v>
      </c>
      <c r="N20" s="33">
        <v>0</v>
      </c>
      <c r="O20" s="33">
        <v>0</v>
      </c>
      <c r="P20" s="33">
        <v>0</v>
      </c>
      <c r="Q20" s="33">
        <v>0</v>
      </c>
      <c r="R20" s="33">
        <v>0</v>
      </c>
      <c r="S20" s="324"/>
    </row>
    <row r="21" spans="1:19" s="325" customFormat="1" hidden="1" outlineLevel="1">
      <c r="A21" s="320">
        <v>10</v>
      </c>
      <c r="B21" s="321" t="s">
        <v>840</v>
      </c>
      <c r="C21" s="33">
        <f>SUM(D21:M21)+SUM(P21:R21)</f>
        <v>0</v>
      </c>
      <c r="D21" s="33">
        <v>0</v>
      </c>
      <c r="E21" s="33">
        <v>0</v>
      </c>
      <c r="F21" s="33">
        <v>0</v>
      </c>
      <c r="G21" s="33">
        <v>0</v>
      </c>
      <c r="H21" s="33">
        <v>0</v>
      </c>
      <c r="I21" s="33">
        <v>0</v>
      </c>
      <c r="J21" s="33">
        <v>0</v>
      </c>
      <c r="K21" s="33">
        <v>0</v>
      </c>
      <c r="L21" s="33">
        <v>0</v>
      </c>
      <c r="M21" s="33">
        <f>N21+O21</f>
        <v>0</v>
      </c>
      <c r="N21" s="33">
        <v>0</v>
      </c>
      <c r="O21" s="33">
        <v>0</v>
      </c>
      <c r="P21" s="33">
        <v>0</v>
      </c>
      <c r="Q21" s="33">
        <v>0</v>
      </c>
      <c r="R21" s="33">
        <v>0</v>
      </c>
      <c r="S21" s="324"/>
    </row>
    <row r="22" spans="1:19" s="325" customFormat="1" collapsed="1">
      <c r="A22" s="320">
        <v>8</v>
      </c>
      <c r="B22" s="321" t="s">
        <v>272</v>
      </c>
      <c r="C22" s="33">
        <f t="shared" si="2"/>
        <v>78623.804671999998</v>
      </c>
      <c r="D22" s="33">
        <v>0</v>
      </c>
      <c r="E22" s="33">
        <v>0</v>
      </c>
      <c r="F22" s="33">
        <v>0</v>
      </c>
      <c r="G22" s="33">
        <v>0</v>
      </c>
      <c r="H22" s="33">
        <v>0</v>
      </c>
      <c r="I22" s="33">
        <v>27044.231545999995</v>
      </c>
      <c r="J22" s="33">
        <v>0</v>
      </c>
      <c r="K22" s="33">
        <v>51579.573126000003</v>
      </c>
      <c r="L22" s="33">
        <v>0</v>
      </c>
      <c r="M22" s="33">
        <f t="shared" si="3"/>
        <v>0</v>
      </c>
      <c r="N22" s="33">
        <v>0</v>
      </c>
      <c r="O22" s="33">
        <v>0</v>
      </c>
      <c r="P22" s="33">
        <v>0</v>
      </c>
      <c r="Q22" s="33">
        <v>0</v>
      </c>
      <c r="R22" s="33">
        <v>0</v>
      </c>
      <c r="S22" s="324"/>
    </row>
    <row r="23" spans="1:19" s="325" customFormat="1">
      <c r="A23" s="320">
        <v>9</v>
      </c>
      <c r="B23" s="321" t="s">
        <v>124</v>
      </c>
      <c r="C23" s="33">
        <f t="shared" si="2"/>
        <v>100508.484</v>
      </c>
      <c r="D23" s="33">
        <v>0</v>
      </c>
      <c r="E23" s="33">
        <v>0</v>
      </c>
      <c r="F23" s="33">
        <v>0</v>
      </c>
      <c r="G23" s="33">
        <v>0</v>
      </c>
      <c r="H23" s="33">
        <v>100508.484</v>
      </c>
      <c r="I23" s="33">
        <v>0</v>
      </c>
      <c r="J23" s="33">
        <v>0</v>
      </c>
      <c r="K23" s="33">
        <v>0</v>
      </c>
      <c r="L23" s="33">
        <v>0</v>
      </c>
      <c r="M23" s="33">
        <f t="shared" si="3"/>
        <v>0</v>
      </c>
      <c r="N23" s="33">
        <v>0</v>
      </c>
      <c r="O23" s="33">
        <v>0</v>
      </c>
      <c r="P23" s="33">
        <v>0</v>
      </c>
      <c r="Q23" s="33">
        <v>0</v>
      </c>
      <c r="R23" s="33">
        <v>0</v>
      </c>
      <c r="S23" s="324"/>
    </row>
    <row r="24" spans="1:19" s="325" customFormat="1" ht="31.5" hidden="1" outlineLevel="1">
      <c r="A24" s="320">
        <v>12</v>
      </c>
      <c r="B24" s="321" t="s">
        <v>841</v>
      </c>
      <c r="C24" s="33">
        <f>SUM(D24:M24)+SUM(P24:R24)</f>
        <v>0</v>
      </c>
      <c r="D24" s="33">
        <v>0</v>
      </c>
      <c r="E24" s="33">
        <v>0</v>
      </c>
      <c r="F24" s="33">
        <v>0</v>
      </c>
      <c r="G24" s="33">
        <v>0</v>
      </c>
      <c r="H24" s="33">
        <v>0</v>
      </c>
      <c r="I24" s="33">
        <v>0</v>
      </c>
      <c r="J24" s="33">
        <v>0</v>
      </c>
      <c r="K24" s="33">
        <v>0</v>
      </c>
      <c r="L24" s="33">
        <v>0</v>
      </c>
      <c r="M24" s="33">
        <f>N24+O24</f>
        <v>0</v>
      </c>
      <c r="N24" s="33">
        <v>0</v>
      </c>
      <c r="O24" s="33">
        <v>0</v>
      </c>
      <c r="P24" s="33">
        <v>0</v>
      </c>
      <c r="Q24" s="33">
        <v>0</v>
      </c>
      <c r="R24" s="33">
        <v>0</v>
      </c>
      <c r="S24" s="324"/>
    </row>
    <row r="25" spans="1:19" s="325" customFormat="1" collapsed="1">
      <c r="A25" s="320">
        <v>10</v>
      </c>
      <c r="B25" s="321" t="s">
        <v>842</v>
      </c>
      <c r="C25" s="33">
        <f t="shared" si="2"/>
        <v>7405.9310000000005</v>
      </c>
      <c r="D25" s="33">
        <v>0</v>
      </c>
      <c r="E25" s="33">
        <v>0</v>
      </c>
      <c r="F25" s="33">
        <v>0</v>
      </c>
      <c r="G25" s="33">
        <v>0</v>
      </c>
      <c r="H25" s="33">
        <v>0</v>
      </c>
      <c r="I25" s="33">
        <v>0</v>
      </c>
      <c r="J25" s="33">
        <v>0</v>
      </c>
      <c r="K25" s="33">
        <v>0</v>
      </c>
      <c r="L25" s="33">
        <v>0</v>
      </c>
      <c r="M25" s="33">
        <f t="shared" si="3"/>
        <v>0</v>
      </c>
      <c r="N25" s="33">
        <v>0</v>
      </c>
      <c r="O25" s="33">
        <v>0</v>
      </c>
      <c r="P25" s="33">
        <v>7405.9310000000005</v>
      </c>
      <c r="Q25" s="33">
        <v>0</v>
      </c>
      <c r="R25" s="33">
        <v>0</v>
      </c>
      <c r="S25" s="324"/>
    </row>
    <row r="26" spans="1:19" s="325" customFormat="1">
      <c r="A26" s="320">
        <v>11</v>
      </c>
      <c r="B26" s="326" t="s">
        <v>273</v>
      </c>
      <c r="C26" s="33">
        <f t="shared" si="2"/>
        <v>161.7660000000028</v>
      </c>
      <c r="D26" s="33">
        <v>0</v>
      </c>
      <c r="E26" s="33">
        <v>0</v>
      </c>
      <c r="F26" s="33">
        <v>0</v>
      </c>
      <c r="G26" s="33">
        <v>0</v>
      </c>
      <c r="H26" s="33">
        <v>0</v>
      </c>
      <c r="I26" s="33">
        <v>0</v>
      </c>
      <c r="J26" s="33">
        <v>0</v>
      </c>
      <c r="K26" s="33">
        <v>0</v>
      </c>
      <c r="L26" s="33">
        <v>0</v>
      </c>
      <c r="M26" s="33">
        <f t="shared" si="3"/>
        <v>0</v>
      </c>
      <c r="N26" s="33">
        <v>0</v>
      </c>
      <c r="O26" s="33">
        <v>0</v>
      </c>
      <c r="P26" s="33">
        <v>161.7660000000028</v>
      </c>
      <c r="Q26" s="33">
        <v>0</v>
      </c>
      <c r="R26" s="33">
        <v>0</v>
      </c>
      <c r="S26" s="324"/>
    </row>
    <row r="27" spans="1:19" s="325" customFormat="1" ht="29.25" hidden="1" customHeight="1" outlineLevel="1">
      <c r="A27" s="320">
        <v>11</v>
      </c>
      <c r="B27" s="326" t="s">
        <v>843</v>
      </c>
      <c r="C27" s="33">
        <f t="shared" si="2"/>
        <v>0</v>
      </c>
      <c r="D27" s="33">
        <v>0</v>
      </c>
      <c r="E27" s="33">
        <v>0</v>
      </c>
      <c r="F27" s="33">
        <v>0</v>
      </c>
      <c r="G27" s="33">
        <v>0</v>
      </c>
      <c r="H27" s="33">
        <v>0</v>
      </c>
      <c r="I27" s="33">
        <v>0</v>
      </c>
      <c r="J27" s="33">
        <v>0</v>
      </c>
      <c r="K27" s="33">
        <v>0</v>
      </c>
      <c r="L27" s="33">
        <v>0</v>
      </c>
      <c r="M27" s="33">
        <f t="shared" si="3"/>
        <v>0</v>
      </c>
      <c r="N27" s="33">
        <v>0</v>
      </c>
      <c r="O27" s="33">
        <v>0</v>
      </c>
      <c r="P27" s="33">
        <v>0</v>
      </c>
      <c r="Q27" s="33">
        <v>0</v>
      </c>
      <c r="R27" s="33">
        <v>0</v>
      </c>
      <c r="S27" s="324"/>
    </row>
    <row r="28" spans="1:19" s="325" customFormat="1" ht="47.25" collapsed="1">
      <c r="A28" s="320">
        <v>12</v>
      </c>
      <c r="B28" s="326" t="s">
        <v>844</v>
      </c>
      <c r="C28" s="33">
        <f t="shared" si="2"/>
        <v>34115.352999999996</v>
      </c>
      <c r="D28" s="33">
        <v>0</v>
      </c>
      <c r="E28" s="33">
        <v>0</v>
      </c>
      <c r="F28" s="33">
        <v>0</v>
      </c>
      <c r="G28" s="33">
        <v>0</v>
      </c>
      <c r="H28" s="33">
        <v>0</v>
      </c>
      <c r="I28" s="33">
        <v>7796.4899999999989</v>
      </c>
      <c r="J28" s="33">
        <v>0</v>
      </c>
      <c r="K28" s="33">
        <v>0</v>
      </c>
      <c r="L28" s="33">
        <v>0</v>
      </c>
      <c r="M28" s="33">
        <f t="shared" si="3"/>
        <v>26318.862999999998</v>
      </c>
      <c r="N28" s="33">
        <v>26318.862999999998</v>
      </c>
      <c r="O28" s="33">
        <v>0</v>
      </c>
      <c r="P28" s="33">
        <v>0</v>
      </c>
      <c r="Q28" s="33">
        <v>0</v>
      </c>
      <c r="R28" s="33">
        <v>0</v>
      </c>
      <c r="S28" s="324"/>
    </row>
    <row r="29" spans="1:19" s="325" customFormat="1" ht="31.5" hidden="1" outlineLevel="1">
      <c r="A29" s="320">
        <v>13</v>
      </c>
      <c r="B29" s="327" t="s">
        <v>845</v>
      </c>
      <c r="C29" s="33">
        <f t="shared" si="2"/>
        <v>0</v>
      </c>
      <c r="D29" s="33">
        <v>0</v>
      </c>
      <c r="E29" s="33">
        <v>0</v>
      </c>
      <c r="F29" s="33">
        <v>0</v>
      </c>
      <c r="G29" s="33">
        <v>0</v>
      </c>
      <c r="H29" s="33">
        <v>0</v>
      </c>
      <c r="I29" s="33">
        <v>0</v>
      </c>
      <c r="J29" s="33">
        <v>0</v>
      </c>
      <c r="K29" s="33">
        <v>0</v>
      </c>
      <c r="L29" s="33">
        <v>0</v>
      </c>
      <c r="M29" s="33">
        <f t="shared" si="3"/>
        <v>0</v>
      </c>
      <c r="N29" s="33">
        <v>0</v>
      </c>
      <c r="O29" s="33">
        <v>0</v>
      </c>
      <c r="P29" s="33">
        <v>0</v>
      </c>
      <c r="Q29" s="33">
        <v>0</v>
      </c>
      <c r="R29" s="33">
        <v>0</v>
      </c>
      <c r="S29" s="324"/>
    </row>
    <row r="30" spans="1:19" s="325" customFormat="1" ht="31.5" hidden="1" outlineLevel="2">
      <c r="A30" s="320">
        <v>17</v>
      </c>
      <c r="B30" s="321" t="s">
        <v>274</v>
      </c>
      <c r="C30" s="33">
        <f t="shared" si="2"/>
        <v>0</v>
      </c>
      <c r="D30" s="33">
        <v>0</v>
      </c>
      <c r="E30" s="33">
        <v>0</v>
      </c>
      <c r="F30" s="33">
        <v>0</v>
      </c>
      <c r="G30" s="33">
        <v>0</v>
      </c>
      <c r="H30" s="33">
        <v>0</v>
      </c>
      <c r="I30" s="33">
        <v>0</v>
      </c>
      <c r="J30" s="33">
        <v>0</v>
      </c>
      <c r="K30" s="33">
        <v>0</v>
      </c>
      <c r="L30" s="33">
        <v>0</v>
      </c>
      <c r="M30" s="33">
        <f t="shared" si="3"/>
        <v>0</v>
      </c>
      <c r="N30" s="33">
        <v>0</v>
      </c>
      <c r="O30" s="33">
        <v>0</v>
      </c>
      <c r="P30" s="33">
        <v>0</v>
      </c>
      <c r="Q30" s="33">
        <v>0</v>
      </c>
      <c r="R30" s="33">
        <v>0</v>
      </c>
      <c r="S30" s="324"/>
    </row>
    <row r="31" spans="1:19" s="325" customFormat="1" ht="31.5" collapsed="1">
      <c r="A31" s="320">
        <v>13</v>
      </c>
      <c r="B31" s="328" t="s">
        <v>846</v>
      </c>
      <c r="C31" s="33">
        <f t="shared" si="2"/>
        <v>24972.345000000001</v>
      </c>
      <c r="D31" s="33">
        <v>0</v>
      </c>
      <c r="E31" s="33">
        <v>0</v>
      </c>
      <c r="F31" s="33">
        <v>0</v>
      </c>
      <c r="G31" s="33">
        <v>0</v>
      </c>
      <c r="H31" s="33">
        <v>0</v>
      </c>
      <c r="I31" s="33">
        <v>0</v>
      </c>
      <c r="J31" s="33">
        <v>0</v>
      </c>
      <c r="K31" s="33">
        <v>0</v>
      </c>
      <c r="L31" s="33">
        <v>0</v>
      </c>
      <c r="M31" s="33">
        <f t="shared" si="3"/>
        <v>24972.345000000001</v>
      </c>
      <c r="N31" s="33">
        <v>0</v>
      </c>
      <c r="O31" s="33">
        <v>24972.345000000001</v>
      </c>
      <c r="P31" s="33">
        <v>0</v>
      </c>
      <c r="Q31" s="33">
        <v>0</v>
      </c>
      <c r="R31" s="33">
        <v>0</v>
      </c>
      <c r="S31" s="324"/>
    </row>
    <row r="32" spans="1:19" s="325" customFormat="1">
      <c r="A32" s="320">
        <v>14</v>
      </c>
      <c r="B32" s="321" t="s">
        <v>275</v>
      </c>
      <c r="C32" s="33">
        <f t="shared" si="2"/>
        <v>235.64467299999998</v>
      </c>
      <c r="D32" s="33">
        <v>0</v>
      </c>
      <c r="E32" s="33">
        <v>0</v>
      </c>
      <c r="F32" s="33">
        <v>0</v>
      </c>
      <c r="G32" s="33">
        <v>0</v>
      </c>
      <c r="H32" s="33">
        <v>0</v>
      </c>
      <c r="I32" s="33">
        <v>0</v>
      </c>
      <c r="J32" s="33">
        <v>0</v>
      </c>
      <c r="K32" s="33">
        <v>0</v>
      </c>
      <c r="L32" s="33">
        <v>0</v>
      </c>
      <c r="M32" s="33">
        <f t="shared" si="3"/>
        <v>235.64467299999998</v>
      </c>
      <c r="N32" s="33">
        <v>235.64467299999998</v>
      </c>
      <c r="O32" s="33">
        <v>0</v>
      </c>
      <c r="P32" s="33">
        <v>0</v>
      </c>
      <c r="Q32" s="33">
        <v>0</v>
      </c>
      <c r="R32" s="33">
        <v>0</v>
      </c>
      <c r="S32" s="324"/>
    </row>
    <row r="33" spans="1:19" s="325" customFormat="1" hidden="1" outlineLevel="1">
      <c r="A33" s="320">
        <v>20</v>
      </c>
      <c r="B33" s="321" t="s">
        <v>847</v>
      </c>
      <c r="C33" s="33">
        <f t="shared" si="2"/>
        <v>0</v>
      </c>
      <c r="D33" s="33">
        <v>0</v>
      </c>
      <c r="E33" s="33">
        <v>0</v>
      </c>
      <c r="F33" s="33">
        <v>0</v>
      </c>
      <c r="G33" s="33">
        <v>0</v>
      </c>
      <c r="H33" s="33">
        <v>0</v>
      </c>
      <c r="I33" s="33">
        <v>0</v>
      </c>
      <c r="J33" s="33">
        <v>0</v>
      </c>
      <c r="K33" s="33">
        <v>0</v>
      </c>
      <c r="L33" s="33">
        <v>0</v>
      </c>
      <c r="M33" s="33">
        <f t="shared" si="3"/>
        <v>0</v>
      </c>
      <c r="N33" s="33">
        <v>0</v>
      </c>
      <c r="O33" s="33">
        <v>0</v>
      </c>
      <c r="P33" s="33">
        <v>0</v>
      </c>
      <c r="Q33" s="33">
        <v>0</v>
      </c>
      <c r="R33" s="33">
        <v>0</v>
      </c>
      <c r="S33" s="324"/>
    </row>
    <row r="34" spans="1:19" s="325" customFormat="1" ht="31.5" collapsed="1">
      <c r="A34" s="320">
        <v>15</v>
      </c>
      <c r="B34" s="321" t="s">
        <v>184</v>
      </c>
      <c r="C34" s="33">
        <f t="shared" si="2"/>
        <v>15546.080599999999</v>
      </c>
      <c r="D34" s="33" t="s">
        <v>848</v>
      </c>
      <c r="E34" s="33" t="s">
        <v>848</v>
      </c>
      <c r="F34" s="33" t="s">
        <v>848</v>
      </c>
      <c r="G34" s="33" t="s">
        <v>848</v>
      </c>
      <c r="H34" s="33">
        <v>15546.080599999999</v>
      </c>
      <c r="I34" s="33" t="s">
        <v>848</v>
      </c>
      <c r="J34" s="33" t="s">
        <v>848</v>
      </c>
      <c r="K34" s="33" t="s">
        <v>848</v>
      </c>
      <c r="L34" s="33" t="s">
        <v>848</v>
      </c>
      <c r="M34" s="33">
        <f t="shared" si="3"/>
        <v>0</v>
      </c>
      <c r="N34" s="33">
        <v>0</v>
      </c>
      <c r="O34" s="33">
        <v>0</v>
      </c>
      <c r="P34" s="33" t="s">
        <v>848</v>
      </c>
      <c r="Q34" s="33" t="s">
        <v>848</v>
      </c>
      <c r="R34" s="33" t="s">
        <v>848</v>
      </c>
      <c r="S34" s="324"/>
    </row>
    <row r="35" spans="1:19" s="325" customFormat="1" hidden="1" outlineLevel="1">
      <c r="A35" s="320">
        <v>17</v>
      </c>
      <c r="B35" s="321" t="s">
        <v>276</v>
      </c>
      <c r="C35" s="33">
        <f t="shared" si="2"/>
        <v>0</v>
      </c>
      <c r="D35" s="33">
        <v>0</v>
      </c>
      <c r="E35" s="33">
        <v>0</v>
      </c>
      <c r="F35" s="33">
        <v>0</v>
      </c>
      <c r="G35" s="33">
        <v>0</v>
      </c>
      <c r="H35" s="33">
        <v>0</v>
      </c>
      <c r="I35" s="33">
        <v>0</v>
      </c>
      <c r="J35" s="33">
        <v>0</v>
      </c>
      <c r="K35" s="33">
        <v>0</v>
      </c>
      <c r="L35" s="33">
        <v>0</v>
      </c>
      <c r="M35" s="33">
        <f t="shared" si="3"/>
        <v>0</v>
      </c>
      <c r="N35" s="33">
        <v>0</v>
      </c>
      <c r="O35" s="33">
        <v>0</v>
      </c>
      <c r="P35" s="33">
        <v>0</v>
      </c>
      <c r="Q35" s="33">
        <v>0</v>
      </c>
      <c r="R35" s="33">
        <v>0</v>
      </c>
      <c r="S35" s="324"/>
    </row>
    <row r="36" spans="1:19" s="325" customFormat="1" collapsed="1">
      <c r="A36" s="320">
        <v>16</v>
      </c>
      <c r="B36" s="321" t="s">
        <v>849</v>
      </c>
      <c r="C36" s="33">
        <f>SUM(D36:M36)+SUM(P36:R36)</f>
        <v>25127</v>
      </c>
      <c r="D36" s="33">
        <v>0</v>
      </c>
      <c r="E36" s="33">
        <v>0</v>
      </c>
      <c r="F36" s="33">
        <v>0</v>
      </c>
      <c r="G36" s="33">
        <v>0</v>
      </c>
      <c r="H36" s="33">
        <v>0</v>
      </c>
      <c r="I36" s="33">
        <v>0</v>
      </c>
      <c r="J36" s="33">
        <v>25127</v>
      </c>
      <c r="K36" s="33">
        <v>0</v>
      </c>
      <c r="L36" s="33">
        <v>0</v>
      </c>
      <c r="M36" s="33">
        <f t="shared" si="3"/>
        <v>0</v>
      </c>
      <c r="N36" s="33">
        <v>0</v>
      </c>
      <c r="O36" s="33">
        <v>0</v>
      </c>
      <c r="P36" s="33">
        <v>0</v>
      </c>
      <c r="Q36" s="33">
        <v>0</v>
      </c>
      <c r="R36" s="33">
        <v>0</v>
      </c>
      <c r="S36" s="324"/>
    </row>
    <row r="37" spans="1:19" s="325" customFormat="1" hidden="1" outlineLevel="1">
      <c r="A37" s="320">
        <v>24</v>
      </c>
      <c r="B37" s="321" t="s">
        <v>136</v>
      </c>
      <c r="C37" s="33">
        <f t="shared" si="2"/>
        <v>0</v>
      </c>
      <c r="D37" s="33">
        <v>0</v>
      </c>
      <c r="E37" s="33">
        <v>0</v>
      </c>
      <c r="F37" s="33">
        <v>0</v>
      </c>
      <c r="G37" s="33">
        <v>0</v>
      </c>
      <c r="H37" s="33">
        <v>0</v>
      </c>
      <c r="I37" s="33">
        <v>0</v>
      </c>
      <c r="J37" s="33">
        <v>0</v>
      </c>
      <c r="K37" s="33">
        <v>0</v>
      </c>
      <c r="L37" s="33">
        <v>0</v>
      </c>
      <c r="M37" s="33">
        <f t="shared" si="3"/>
        <v>0</v>
      </c>
      <c r="N37" s="33">
        <v>0</v>
      </c>
      <c r="O37" s="33">
        <v>0</v>
      </c>
      <c r="P37" s="33">
        <v>0</v>
      </c>
      <c r="Q37" s="33">
        <v>0</v>
      </c>
      <c r="R37" s="33">
        <v>0</v>
      </c>
      <c r="S37" s="324"/>
    </row>
    <row r="38" spans="1:19" s="325" customFormat="1" ht="31.5" hidden="1" outlineLevel="1">
      <c r="A38" s="320">
        <v>25</v>
      </c>
      <c r="B38" s="327" t="s">
        <v>850</v>
      </c>
      <c r="C38" s="33">
        <f t="shared" si="2"/>
        <v>0</v>
      </c>
      <c r="D38" s="33">
        <v>0</v>
      </c>
      <c r="E38" s="33">
        <v>0</v>
      </c>
      <c r="F38" s="33">
        <v>0</v>
      </c>
      <c r="G38" s="33">
        <v>0</v>
      </c>
      <c r="H38" s="33">
        <v>0</v>
      </c>
      <c r="I38" s="33">
        <v>0</v>
      </c>
      <c r="J38" s="33">
        <v>0</v>
      </c>
      <c r="K38" s="33">
        <v>0</v>
      </c>
      <c r="L38" s="33">
        <v>0</v>
      </c>
      <c r="M38" s="33">
        <f t="shared" si="3"/>
        <v>0</v>
      </c>
      <c r="N38" s="33">
        <v>0</v>
      </c>
      <c r="O38" s="33">
        <v>0</v>
      </c>
      <c r="P38" s="33">
        <v>0</v>
      </c>
      <c r="Q38" s="33">
        <v>0</v>
      </c>
      <c r="R38" s="33">
        <v>0</v>
      </c>
      <c r="S38" s="324"/>
    </row>
    <row r="39" spans="1:19" s="325" customFormat="1" hidden="1" outlineLevel="1">
      <c r="A39" s="320">
        <v>26</v>
      </c>
      <c r="B39" s="321" t="s">
        <v>851</v>
      </c>
      <c r="C39" s="33">
        <f t="shared" si="2"/>
        <v>0</v>
      </c>
      <c r="D39" s="33">
        <v>0</v>
      </c>
      <c r="E39" s="33">
        <v>0</v>
      </c>
      <c r="F39" s="33">
        <v>0</v>
      </c>
      <c r="G39" s="33">
        <v>0</v>
      </c>
      <c r="H39" s="33">
        <v>0</v>
      </c>
      <c r="I39" s="33">
        <v>0</v>
      </c>
      <c r="J39" s="33">
        <v>0</v>
      </c>
      <c r="K39" s="33">
        <v>0</v>
      </c>
      <c r="L39" s="33">
        <v>0</v>
      </c>
      <c r="M39" s="33">
        <f t="shared" si="3"/>
        <v>0</v>
      </c>
      <c r="N39" s="33">
        <v>0</v>
      </c>
      <c r="O39" s="33">
        <v>0</v>
      </c>
      <c r="P39" s="33">
        <v>0</v>
      </c>
      <c r="Q39" s="33">
        <v>0</v>
      </c>
      <c r="R39" s="33">
        <v>0</v>
      </c>
      <c r="S39" s="324"/>
    </row>
    <row r="40" spans="1:19" s="325" customFormat="1" ht="30.75" customHeight="1" collapsed="1">
      <c r="A40" s="320">
        <v>17</v>
      </c>
      <c r="B40" s="321" t="s">
        <v>146</v>
      </c>
      <c r="C40" s="33">
        <f t="shared" si="2"/>
        <v>5890</v>
      </c>
      <c r="D40" s="33">
        <v>5890</v>
      </c>
      <c r="E40" s="33">
        <v>0</v>
      </c>
      <c r="F40" s="33">
        <v>0</v>
      </c>
      <c r="G40" s="33">
        <v>0</v>
      </c>
      <c r="H40" s="33">
        <v>0</v>
      </c>
      <c r="I40" s="33">
        <v>0</v>
      </c>
      <c r="J40" s="33">
        <v>0</v>
      </c>
      <c r="K40" s="33">
        <v>0</v>
      </c>
      <c r="L40" s="33">
        <v>0</v>
      </c>
      <c r="M40" s="33">
        <f t="shared" si="3"/>
        <v>0</v>
      </c>
      <c r="N40" s="33">
        <v>0</v>
      </c>
      <c r="O40" s="33">
        <v>0</v>
      </c>
      <c r="P40" s="33">
        <v>0</v>
      </c>
      <c r="Q40" s="33">
        <v>0</v>
      </c>
      <c r="R40" s="33">
        <v>0</v>
      </c>
      <c r="S40" s="324"/>
    </row>
    <row r="41" spans="1:19" s="325" customFormat="1" hidden="1" outlineLevel="1">
      <c r="A41" s="320">
        <v>20</v>
      </c>
      <c r="B41" s="321" t="s">
        <v>852</v>
      </c>
      <c r="C41" s="33">
        <f t="shared" si="2"/>
        <v>0</v>
      </c>
      <c r="D41" s="33">
        <v>0</v>
      </c>
      <c r="E41" s="33">
        <v>0</v>
      </c>
      <c r="F41" s="33">
        <v>0</v>
      </c>
      <c r="G41" s="33">
        <v>0</v>
      </c>
      <c r="H41" s="33">
        <v>0</v>
      </c>
      <c r="I41" s="33">
        <v>0</v>
      </c>
      <c r="J41" s="33">
        <v>0</v>
      </c>
      <c r="K41" s="33">
        <v>0</v>
      </c>
      <c r="L41" s="33">
        <v>0</v>
      </c>
      <c r="M41" s="33">
        <f t="shared" si="3"/>
        <v>0</v>
      </c>
      <c r="N41" s="33">
        <v>0</v>
      </c>
      <c r="O41" s="33">
        <v>0</v>
      </c>
      <c r="P41" s="33">
        <v>0</v>
      </c>
      <c r="Q41" s="33">
        <v>0</v>
      </c>
      <c r="R41" s="33">
        <v>0</v>
      </c>
      <c r="S41" s="324"/>
    </row>
    <row r="42" spans="1:19" s="325" customFormat="1" collapsed="1">
      <c r="A42" s="320">
        <v>18</v>
      </c>
      <c r="B42" s="321" t="s">
        <v>853</v>
      </c>
      <c r="C42" s="33">
        <f t="shared" si="2"/>
        <v>992</v>
      </c>
      <c r="D42" s="33"/>
      <c r="E42" s="33"/>
      <c r="F42" s="33"/>
      <c r="G42" s="33"/>
      <c r="H42" s="33"/>
      <c r="I42" s="33"/>
      <c r="J42" s="33"/>
      <c r="K42" s="33"/>
      <c r="L42" s="33"/>
      <c r="M42" s="33">
        <f t="shared" si="3"/>
        <v>992</v>
      </c>
      <c r="N42" s="33"/>
      <c r="O42" s="33">
        <v>992</v>
      </c>
      <c r="P42" s="33"/>
      <c r="Q42" s="33"/>
      <c r="R42" s="33"/>
      <c r="S42" s="324"/>
    </row>
    <row r="43" spans="1:19" s="325" customFormat="1">
      <c r="A43" s="320">
        <v>19</v>
      </c>
      <c r="B43" s="321" t="s">
        <v>278</v>
      </c>
      <c r="C43" s="33">
        <f t="shared" si="2"/>
        <v>25368</v>
      </c>
      <c r="D43" s="33">
        <v>0</v>
      </c>
      <c r="E43" s="33">
        <v>0</v>
      </c>
      <c r="F43" s="33">
        <v>25368</v>
      </c>
      <c r="G43" s="33">
        <v>0</v>
      </c>
      <c r="H43" s="33">
        <v>0</v>
      </c>
      <c r="I43" s="33">
        <v>0</v>
      </c>
      <c r="J43" s="33">
        <v>0</v>
      </c>
      <c r="K43" s="33">
        <v>0</v>
      </c>
      <c r="L43" s="33">
        <v>0</v>
      </c>
      <c r="M43" s="33">
        <f t="shared" si="3"/>
        <v>0</v>
      </c>
      <c r="N43" s="33">
        <v>0</v>
      </c>
      <c r="O43" s="33">
        <v>0</v>
      </c>
      <c r="P43" s="33">
        <v>0</v>
      </c>
      <c r="Q43" s="33">
        <v>0</v>
      </c>
      <c r="R43" s="33">
        <v>0</v>
      </c>
      <c r="S43" s="324"/>
    </row>
    <row r="44" spans="1:19" s="325" customFormat="1" ht="40.9" customHeight="1">
      <c r="A44" s="320">
        <v>20</v>
      </c>
      <c r="B44" s="321" t="s">
        <v>182</v>
      </c>
      <c r="C44" s="33">
        <f t="shared" si="2"/>
        <v>5595.15</v>
      </c>
      <c r="D44" s="33">
        <v>0</v>
      </c>
      <c r="E44" s="33">
        <v>0</v>
      </c>
      <c r="F44" s="33">
        <v>0</v>
      </c>
      <c r="G44" s="33">
        <v>0</v>
      </c>
      <c r="H44" s="33">
        <v>0</v>
      </c>
      <c r="I44" s="33">
        <v>0</v>
      </c>
      <c r="J44" s="33">
        <v>0</v>
      </c>
      <c r="K44" s="33">
        <v>0</v>
      </c>
      <c r="L44" s="33">
        <v>0</v>
      </c>
      <c r="M44" s="33">
        <f t="shared" si="3"/>
        <v>5595.15</v>
      </c>
      <c r="N44" s="33">
        <v>0</v>
      </c>
      <c r="O44" s="33">
        <v>5595.15</v>
      </c>
      <c r="P44" s="33">
        <v>0</v>
      </c>
      <c r="Q44" s="33">
        <v>0</v>
      </c>
      <c r="R44" s="33">
        <v>0</v>
      </c>
      <c r="S44" s="324"/>
    </row>
    <row r="45" spans="1:19" s="325" customFormat="1" ht="31.5" hidden="1" outlineLevel="1">
      <c r="A45" s="320">
        <v>32</v>
      </c>
      <c r="B45" s="321" t="s">
        <v>854</v>
      </c>
      <c r="C45" s="33">
        <f t="shared" si="2"/>
        <v>0</v>
      </c>
      <c r="D45" s="33">
        <v>0</v>
      </c>
      <c r="E45" s="33">
        <v>0</v>
      </c>
      <c r="F45" s="33">
        <v>0</v>
      </c>
      <c r="G45" s="33">
        <v>0</v>
      </c>
      <c r="H45" s="33">
        <v>0</v>
      </c>
      <c r="I45" s="33">
        <v>0</v>
      </c>
      <c r="J45" s="33">
        <v>0</v>
      </c>
      <c r="K45" s="33">
        <v>0</v>
      </c>
      <c r="L45" s="33">
        <v>0</v>
      </c>
      <c r="M45" s="33">
        <f t="shared" si="3"/>
        <v>0</v>
      </c>
      <c r="N45" s="33"/>
      <c r="O45" s="33"/>
      <c r="P45" s="33">
        <v>0</v>
      </c>
      <c r="Q45" s="33">
        <v>0</v>
      </c>
      <c r="R45" s="33">
        <v>0</v>
      </c>
      <c r="S45" s="324"/>
    </row>
    <row r="46" spans="1:19" s="325" customFormat="1" collapsed="1">
      <c r="A46" s="320">
        <v>21</v>
      </c>
      <c r="B46" s="329" t="s">
        <v>855</v>
      </c>
      <c r="C46" s="33">
        <f t="shared" si="2"/>
        <v>12958</v>
      </c>
      <c r="D46" s="33">
        <v>0</v>
      </c>
      <c r="E46" s="33">
        <v>0</v>
      </c>
      <c r="F46" s="33">
        <v>0</v>
      </c>
      <c r="G46" s="33">
        <v>0</v>
      </c>
      <c r="H46" s="33">
        <v>0</v>
      </c>
      <c r="I46" s="33">
        <v>0</v>
      </c>
      <c r="J46" s="33">
        <v>0</v>
      </c>
      <c r="K46" s="33">
        <v>0</v>
      </c>
      <c r="L46" s="33">
        <v>0</v>
      </c>
      <c r="M46" s="33">
        <f t="shared" si="3"/>
        <v>12958</v>
      </c>
      <c r="N46" s="33">
        <v>12958</v>
      </c>
      <c r="O46" s="33">
        <v>0</v>
      </c>
      <c r="P46" s="33">
        <v>0</v>
      </c>
      <c r="Q46" s="33">
        <v>0</v>
      </c>
      <c r="R46" s="33">
        <v>0</v>
      </c>
      <c r="S46" s="324"/>
    </row>
    <row r="47" spans="1:19" s="325" customFormat="1">
      <c r="A47" s="320">
        <v>22</v>
      </c>
      <c r="B47" s="329" t="s">
        <v>192</v>
      </c>
      <c r="C47" s="33">
        <f t="shared" si="2"/>
        <v>16869.978880000002</v>
      </c>
      <c r="D47" s="33">
        <v>0</v>
      </c>
      <c r="E47" s="33">
        <v>0</v>
      </c>
      <c r="F47" s="33">
        <v>0</v>
      </c>
      <c r="G47" s="33">
        <v>0</v>
      </c>
      <c r="H47" s="33">
        <v>0</v>
      </c>
      <c r="I47" s="33">
        <v>16869.978880000002</v>
      </c>
      <c r="J47" s="33">
        <v>0</v>
      </c>
      <c r="K47" s="33">
        <v>0</v>
      </c>
      <c r="L47" s="33">
        <v>0</v>
      </c>
      <c r="M47" s="33">
        <f t="shared" si="3"/>
        <v>0</v>
      </c>
      <c r="N47" s="33">
        <v>0</v>
      </c>
      <c r="O47" s="33">
        <v>0</v>
      </c>
      <c r="P47" s="33">
        <v>0</v>
      </c>
      <c r="Q47" s="33">
        <v>0</v>
      </c>
      <c r="R47" s="33">
        <v>0</v>
      </c>
      <c r="S47" s="324"/>
    </row>
    <row r="48" spans="1:19" s="325" customFormat="1" hidden="1" outlineLevel="1">
      <c r="A48" s="320">
        <v>35</v>
      </c>
      <c r="B48" s="329" t="s">
        <v>856</v>
      </c>
      <c r="C48" s="33">
        <f t="shared" si="2"/>
        <v>0</v>
      </c>
      <c r="D48" s="33">
        <v>0</v>
      </c>
      <c r="E48" s="33">
        <v>0</v>
      </c>
      <c r="F48" s="33">
        <v>0</v>
      </c>
      <c r="G48" s="33">
        <v>0</v>
      </c>
      <c r="H48" s="33">
        <v>0</v>
      </c>
      <c r="I48" s="33">
        <v>0</v>
      </c>
      <c r="J48" s="33">
        <v>0</v>
      </c>
      <c r="K48" s="33">
        <v>0</v>
      </c>
      <c r="L48" s="33">
        <v>0</v>
      </c>
      <c r="M48" s="33">
        <f t="shared" si="3"/>
        <v>0</v>
      </c>
      <c r="N48" s="33">
        <v>0</v>
      </c>
      <c r="O48" s="33">
        <v>0</v>
      </c>
      <c r="P48" s="33">
        <v>0</v>
      </c>
      <c r="Q48" s="33">
        <v>0</v>
      </c>
      <c r="R48" s="33">
        <v>0</v>
      </c>
      <c r="S48" s="324"/>
    </row>
    <row r="49" spans="1:19" s="325" customFormat="1" collapsed="1">
      <c r="A49" s="320">
        <v>23</v>
      </c>
      <c r="B49" s="329" t="s">
        <v>857</v>
      </c>
      <c r="C49" s="33">
        <f t="shared" si="2"/>
        <v>10000</v>
      </c>
      <c r="D49" s="33">
        <v>0</v>
      </c>
      <c r="E49" s="33">
        <v>0</v>
      </c>
      <c r="F49" s="33">
        <v>0</v>
      </c>
      <c r="G49" s="33">
        <v>0</v>
      </c>
      <c r="H49" s="33">
        <v>0</v>
      </c>
      <c r="I49" s="33">
        <v>0</v>
      </c>
      <c r="J49" s="33">
        <v>0</v>
      </c>
      <c r="K49" s="33">
        <v>0</v>
      </c>
      <c r="L49" s="33">
        <v>0</v>
      </c>
      <c r="M49" s="33">
        <f t="shared" si="3"/>
        <v>10000</v>
      </c>
      <c r="N49" s="33">
        <v>10000</v>
      </c>
      <c r="O49" s="33">
        <v>0</v>
      </c>
      <c r="P49" s="33">
        <v>0</v>
      </c>
      <c r="Q49" s="33">
        <v>0</v>
      </c>
      <c r="R49" s="33">
        <v>0</v>
      </c>
      <c r="S49" s="324"/>
    </row>
    <row r="50" spans="1:19" s="325" customFormat="1">
      <c r="A50" s="330">
        <v>24</v>
      </c>
      <c r="B50" s="331" t="s">
        <v>190</v>
      </c>
      <c r="C50" s="332">
        <f t="shared" si="2"/>
        <v>39217.209026999997</v>
      </c>
      <c r="D50" s="332">
        <v>0</v>
      </c>
      <c r="E50" s="332">
        <v>0</v>
      </c>
      <c r="F50" s="332">
        <v>0</v>
      </c>
      <c r="G50" s="332">
        <v>0</v>
      </c>
      <c r="H50" s="332">
        <v>0</v>
      </c>
      <c r="I50" s="332">
        <v>0</v>
      </c>
      <c r="J50" s="332">
        <v>0</v>
      </c>
      <c r="K50" s="332">
        <v>0</v>
      </c>
      <c r="L50" s="332">
        <v>0</v>
      </c>
      <c r="M50" s="332">
        <f t="shared" si="3"/>
        <v>39217.209026999997</v>
      </c>
      <c r="N50" s="332">
        <v>39217.209026999997</v>
      </c>
      <c r="O50" s="332">
        <v>0</v>
      </c>
      <c r="P50" s="332">
        <v>0</v>
      </c>
      <c r="Q50" s="332">
        <v>0</v>
      </c>
      <c r="R50" s="332">
        <v>0</v>
      </c>
      <c r="S50" s="324"/>
    </row>
    <row r="51" spans="1:19" s="325" customFormat="1" hidden="1" outlineLevel="2">
      <c r="A51" s="333">
        <v>38</v>
      </c>
      <c r="B51" s="334" t="s">
        <v>858</v>
      </c>
      <c r="C51" s="335">
        <f t="shared" si="2"/>
        <v>0</v>
      </c>
      <c r="D51" s="335">
        <v>0</v>
      </c>
      <c r="E51" s="335">
        <v>0</v>
      </c>
      <c r="F51" s="335">
        <v>0</v>
      </c>
      <c r="G51" s="335">
        <v>0</v>
      </c>
      <c r="H51" s="335">
        <v>0</v>
      </c>
      <c r="I51" s="335">
        <v>0</v>
      </c>
      <c r="J51" s="335">
        <v>0</v>
      </c>
      <c r="K51" s="335">
        <v>0</v>
      </c>
      <c r="L51" s="335">
        <v>0</v>
      </c>
      <c r="M51" s="335">
        <f t="shared" si="3"/>
        <v>0</v>
      </c>
      <c r="N51" s="335">
        <v>0</v>
      </c>
      <c r="O51" s="335"/>
      <c r="P51" s="335">
        <v>0</v>
      </c>
      <c r="Q51" s="335">
        <v>0</v>
      </c>
      <c r="R51" s="335">
        <v>0</v>
      </c>
      <c r="S51" s="324"/>
    </row>
    <row r="52" spans="1:19" s="325" customFormat="1" hidden="1" outlineLevel="1">
      <c r="A52" s="330">
        <v>28</v>
      </c>
      <c r="B52" s="331" t="s">
        <v>188</v>
      </c>
      <c r="C52" s="332">
        <f t="shared" si="2"/>
        <v>0</v>
      </c>
      <c r="D52" s="332"/>
      <c r="E52" s="332"/>
      <c r="F52" s="332"/>
      <c r="G52" s="332"/>
      <c r="H52" s="332"/>
      <c r="I52" s="332"/>
      <c r="J52" s="332"/>
      <c r="K52" s="332"/>
      <c r="L52" s="332"/>
      <c r="M52" s="332">
        <f t="shared" si="3"/>
        <v>0</v>
      </c>
      <c r="N52" s="332">
        <v>0</v>
      </c>
      <c r="O52" s="332">
        <v>0</v>
      </c>
      <c r="P52" s="332"/>
      <c r="Q52" s="332"/>
      <c r="R52" s="332"/>
      <c r="S52" s="324"/>
    </row>
    <row r="53" spans="1:19" collapsed="1"/>
    <row r="55" spans="1:19">
      <c r="C55" s="336"/>
    </row>
    <row r="56" spans="1:19">
      <c r="C56" s="336"/>
    </row>
  </sheetData>
  <mergeCells count="21">
    <mergeCell ref="A2:R2"/>
    <mergeCell ref="A3:R3"/>
    <mergeCell ref="A5:A8"/>
    <mergeCell ref="B5:B8"/>
    <mergeCell ref="C5:C8"/>
    <mergeCell ref="D5:D8"/>
    <mergeCell ref="E5:E8"/>
    <mergeCell ref="F5:F8"/>
    <mergeCell ref="G5:G8"/>
    <mergeCell ref="H5:H8"/>
    <mergeCell ref="I5:I8"/>
    <mergeCell ref="J5:J8"/>
    <mergeCell ref="K5:K8"/>
    <mergeCell ref="L5:L8"/>
    <mergeCell ref="M5:M8"/>
    <mergeCell ref="P5:P8"/>
    <mergeCell ref="Q5:Q8"/>
    <mergeCell ref="R5:R8"/>
    <mergeCell ref="N6:N8"/>
    <mergeCell ref="O6:O8"/>
    <mergeCell ref="N5:O5"/>
  </mergeCells>
  <printOptions horizontalCentered="1"/>
  <pageMargins left="0.19685039370078741" right="0.23622047244094491" top="0.35433070866141736" bottom="0.39370078740157483" header="0.19685039370078741" footer="0.19685039370078741"/>
  <pageSetup paperSize="9" scale="69" fitToHeight="0" orientation="landscape" r:id="rId1"/>
  <headerFooter alignWithMargins="0">
    <oddFooter>&amp;C&amp;".VnTime,  Italic"&amp;8
&amp;".VnTimeH,Regular"&amp;12&amp;P/&amp;N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90"/>
  <sheetViews>
    <sheetView zoomScale="70" zoomScaleNormal="70" workbookViewId="0">
      <pane xSplit="3" ySplit="10" topLeftCell="D11" activePane="bottomRight" state="frozen"/>
      <selection activeCell="A40" sqref="A40:XFD41"/>
      <selection pane="topRight" activeCell="A40" sqref="A40:XFD41"/>
      <selection pane="bottomLeft" activeCell="A40" sqref="A40:XFD41"/>
      <selection pane="bottomRight" activeCell="A40" sqref="A40:XFD41"/>
    </sheetView>
  </sheetViews>
  <sheetFormatPr defaultColWidth="10.140625" defaultRowHeight="15.75" outlineLevelCol="1"/>
  <cols>
    <col min="1" max="1" width="5.140625" style="681" customWidth="1"/>
    <col min="2" max="2" width="33.7109375" style="698" customWidth="1"/>
    <col min="3" max="3" width="16.85546875" style="698" hidden="1" customWidth="1" outlineLevel="1"/>
    <col min="4" max="4" width="15.85546875" style="681" customWidth="1" collapsed="1"/>
    <col min="5" max="19" width="12.42578125" style="681" customWidth="1"/>
    <col min="20" max="20" width="12.140625" style="681" hidden="1" customWidth="1" outlineLevel="1"/>
    <col min="21" max="21" width="12.5703125" style="681" hidden="1" customWidth="1" outlineLevel="1"/>
    <col min="22" max="22" width="10.140625" style="681" collapsed="1"/>
    <col min="23" max="256" width="10.140625" style="681"/>
    <col min="257" max="257" width="5.140625" style="681" customWidth="1"/>
    <col min="258" max="258" width="33.7109375" style="681" customWidth="1"/>
    <col min="259" max="259" width="16.85546875" style="681" customWidth="1"/>
    <col min="260" max="260" width="15.85546875" style="681" customWidth="1"/>
    <col min="261" max="275" width="12.42578125" style="681" customWidth="1"/>
    <col min="276" max="276" width="12.140625" style="681" customWidth="1"/>
    <col min="277" max="277" width="42.5703125" style="681" customWidth="1"/>
    <col min="278" max="512" width="10.140625" style="681"/>
    <col min="513" max="513" width="5.140625" style="681" customWidth="1"/>
    <col min="514" max="514" width="33.7109375" style="681" customWidth="1"/>
    <col min="515" max="515" width="16.85546875" style="681" customWidth="1"/>
    <col min="516" max="516" width="15.85546875" style="681" customWidth="1"/>
    <col min="517" max="531" width="12.42578125" style="681" customWidth="1"/>
    <col min="532" max="532" width="12.140625" style="681" customWidth="1"/>
    <col min="533" max="533" width="42.5703125" style="681" customWidth="1"/>
    <col min="534" max="768" width="10.140625" style="681"/>
    <col min="769" max="769" width="5.140625" style="681" customWidth="1"/>
    <col min="770" max="770" width="33.7109375" style="681" customWidth="1"/>
    <col min="771" max="771" width="16.85546875" style="681" customWidth="1"/>
    <col min="772" max="772" width="15.85546875" style="681" customWidth="1"/>
    <col min="773" max="787" width="12.42578125" style="681" customWidth="1"/>
    <col min="788" max="788" width="12.140625" style="681" customWidth="1"/>
    <col min="789" max="789" width="42.5703125" style="681" customWidth="1"/>
    <col min="790" max="1024" width="10.140625" style="681"/>
    <col min="1025" max="1025" width="5.140625" style="681" customWidth="1"/>
    <col min="1026" max="1026" width="33.7109375" style="681" customWidth="1"/>
    <col min="1027" max="1027" width="16.85546875" style="681" customWidth="1"/>
    <col min="1028" max="1028" width="15.85546875" style="681" customWidth="1"/>
    <col min="1029" max="1043" width="12.42578125" style="681" customWidth="1"/>
    <col min="1044" max="1044" width="12.140625" style="681" customWidth="1"/>
    <col min="1045" max="1045" width="42.5703125" style="681" customWidth="1"/>
    <col min="1046" max="1280" width="10.140625" style="681"/>
    <col min="1281" max="1281" width="5.140625" style="681" customWidth="1"/>
    <col min="1282" max="1282" width="33.7109375" style="681" customWidth="1"/>
    <col min="1283" max="1283" width="16.85546875" style="681" customWidth="1"/>
    <col min="1284" max="1284" width="15.85546875" style="681" customWidth="1"/>
    <col min="1285" max="1299" width="12.42578125" style="681" customWidth="1"/>
    <col min="1300" max="1300" width="12.140625" style="681" customWidth="1"/>
    <col min="1301" max="1301" width="42.5703125" style="681" customWidth="1"/>
    <col min="1302" max="1536" width="10.140625" style="681"/>
    <col min="1537" max="1537" width="5.140625" style="681" customWidth="1"/>
    <col min="1538" max="1538" width="33.7109375" style="681" customWidth="1"/>
    <col min="1539" max="1539" width="16.85546875" style="681" customWidth="1"/>
    <col min="1540" max="1540" width="15.85546875" style="681" customWidth="1"/>
    <col min="1541" max="1555" width="12.42578125" style="681" customWidth="1"/>
    <col min="1556" max="1556" width="12.140625" style="681" customWidth="1"/>
    <col min="1557" max="1557" width="42.5703125" style="681" customWidth="1"/>
    <col min="1558" max="1792" width="10.140625" style="681"/>
    <col min="1793" max="1793" width="5.140625" style="681" customWidth="1"/>
    <col min="1794" max="1794" width="33.7109375" style="681" customWidth="1"/>
    <col min="1795" max="1795" width="16.85546875" style="681" customWidth="1"/>
    <col min="1796" max="1796" width="15.85546875" style="681" customWidth="1"/>
    <col min="1797" max="1811" width="12.42578125" style="681" customWidth="1"/>
    <col min="1812" max="1812" width="12.140625" style="681" customWidth="1"/>
    <col min="1813" max="1813" width="42.5703125" style="681" customWidth="1"/>
    <col min="1814" max="2048" width="10.140625" style="681"/>
    <col min="2049" max="2049" width="5.140625" style="681" customWidth="1"/>
    <col min="2050" max="2050" width="33.7109375" style="681" customWidth="1"/>
    <col min="2051" max="2051" width="16.85546875" style="681" customWidth="1"/>
    <col min="2052" max="2052" width="15.85546875" style="681" customWidth="1"/>
    <col min="2053" max="2067" width="12.42578125" style="681" customWidth="1"/>
    <col min="2068" max="2068" width="12.140625" style="681" customWidth="1"/>
    <col min="2069" max="2069" width="42.5703125" style="681" customWidth="1"/>
    <col min="2070" max="2304" width="10.140625" style="681"/>
    <col min="2305" max="2305" width="5.140625" style="681" customWidth="1"/>
    <col min="2306" max="2306" width="33.7109375" style="681" customWidth="1"/>
    <col min="2307" max="2307" width="16.85546875" style="681" customWidth="1"/>
    <col min="2308" max="2308" width="15.85546875" style="681" customWidth="1"/>
    <col min="2309" max="2323" width="12.42578125" style="681" customWidth="1"/>
    <col min="2324" max="2324" width="12.140625" style="681" customWidth="1"/>
    <col min="2325" max="2325" width="42.5703125" style="681" customWidth="1"/>
    <col min="2326" max="2560" width="10.140625" style="681"/>
    <col min="2561" max="2561" width="5.140625" style="681" customWidth="1"/>
    <col min="2562" max="2562" width="33.7109375" style="681" customWidth="1"/>
    <col min="2563" max="2563" width="16.85546875" style="681" customWidth="1"/>
    <col min="2564" max="2564" width="15.85546875" style="681" customWidth="1"/>
    <col min="2565" max="2579" width="12.42578125" style="681" customWidth="1"/>
    <col min="2580" max="2580" width="12.140625" style="681" customWidth="1"/>
    <col min="2581" max="2581" width="42.5703125" style="681" customWidth="1"/>
    <col min="2582" max="2816" width="10.140625" style="681"/>
    <col min="2817" max="2817" width="5.140625" style="681" customWidth="1"/>
    <col min="2818" max="2818" width="33.7109375" style="681" customWidth="1"/>
    <col min="2819" max="2819" width="16.85546875" style="681" customWidth="1"/>
    <col min="2820" max="2820" width="15.85546875" style="681" customWidth="1"/>
    <col min="2821" max="2835" width="12.42578125" style="681" customWidth="1"/>
    <col min="2836" max="2836" width="12.140625" style="681" customWidth="1"/>
    <col min="2837" max="2837" width="42.5703125" style="681" customWidth="1"/>
    <col min="2838" max="3072" width="10.140625" style="681"/>
    <col min="3073" max="3073" width="5.140625" style="681" customWidth="1"/>
    <col min="3074" max="3074" width="33.7109375" style="681" customWidth="1"/>
    <col min="3075" max="3075" width="16.85546875" style="681" customWidth="1"/>
    <col min="3076" max="3076" width="15.85546875" style="681" customWidth="1"/>
    <col min="3077" max="3091" width="12.42578125" style="681" customWidth="1"/>
    <col min="3092" max="3092" width="12.140625" style="681" customWidth="1"/>
    <col min="3093" max="3093" width="42.5703125" style="681" customWidth="1"/>
    <col min="3094" max="3328" width="10.140625" style="681"/>
    <col min="3329" max="3329" width="5.140625" style="681" customWidth="1"/>
    <col min="3330" max="3330" width="33.7109375" style="681" customWidth="1"/>
    <col min="3331" max="3331" width="16.85546875" style="681" customWidth="1"/>
    <col min="3332" max="3332" width="15.85546875" style="681" customWidth="1"/>
    <col min="3333" max="3347" width="12.42578125" style="681" customWidth="1"/>
    <col min="3348" max="3348" width="12.140625" style="681" customWidth="1"/>
    <col min="3349" max="3349" width="42.5703125" style="681" customWidth="1"/>
    <col min="3350" max="3584" width="10.140625" style="681"/>
    <col min="3585" max="3585" width="5.140625" style="681" customWidth="1"/>
    <col min="3586" max="3586" width="33.7109375" style="681" customWidth="1"/>
    <col min="3587" max="3587" width="16.85546875" style="681" customWidth="1"/>
    <col min="3588" max="3588" width="15.85546875" style="681" customWidth="1"/>
    <col min="3589" max="3603" width="12.42578125" style="681" customWidth="1"/>
    <col min="3604" max="3604" width="12.140625" style="681" customWidth="1"/>
    <col min="3605" max="3605" width="42.5703125" style="681" customWidth="1"/>
    <col min="3606" max="3840" width="10.140625" style="681"/>
    <col min="3841" max="3841" width="5.140625" style="681" customWidth="1"/>
    <col min="3842" max="3842" width="33.7109375" style="681" customWidth="1"/>
    <col min="3843" max="3843" width="16.85546875" style="681" customWidth="1"/>
    <col min="3844" max="3844" width="15.85546875" style="681" customWidth="1"/>
    <col min="3845" max="3859" width="12.42578125" style="681" customWidth="1"/>
    <col min="3860" max="3860" width="12.140625" style="681" customWidth="1"/>
    <col min="3861" max="3861" width="42.5703125" style="681" customWidth="1"/>
    <col min="3862" max="4096" width="10.140625" style="681"/>
    <col min="4097" max="4097" width="5.140625" style="681" customWidth="1"/>
    <col min="4098" max="4098" width="33.7109375" style="681" customWidth="1"/>
    <col min="4099" max="4099" width="16.85546875" style="681" customWidth="1"/>
    <col min="4100" max="4100" width="15.85546875" style="681" customWidth="1"/>
    <col min="4101" max="4115" width="12.42578125" style="681" customWidth="1"/>
    <col min="4116" max="4116" width="12.140625" style="681" customWidth="1"/>
    <col min="4117" max="4117" width="42.5703125" style="681" customWidth="1"/>
    <col min="4118" max="4352" width="10.140625" style="681"/>
    <col min="4353" max="4353" width="5.140625" style="681" customWidth="1"/>
    <col min="4354" max="4354" width="33.7109375" style="681" customWidth="1"/>
    <col min="4355" max="4355" width="16.85546875" style="681" customWidth="1"/>
    <col min="4356" max="4356" width="15.85546875" style="681" customWidth="1"/>
    <col min="4357" max="4371" width="12.42578125" style="681" customWidth="1"/>
    <col min="4372" max="4372" width="12.140625" style="681" customWidth="1"/>
    <col min="4373" max="4373" width="42.5703125" style="681" customWidth="1"/>
    <col min="4374" max="4608" width="10.140625" style="681"/>
    <col min="4609" max="4609" width="5.140625" style="681" customWidth="1"/>
    <col min="4610" max="4610" width="33.7109375" style="681" customWidth="1"/>
    <col min="4611" max="4611" width="16.85546875" style="681" customWidth="1"/>
    <col min="4612" max="4612" width="15.85546875" style="681" customWidth="1"/>
    <col min="4613" max="4627" width="12.42578125" style="681" customWidth="1"/>
    <col min="4628" max="4628" width="12.140625" style="681" customWidth="1"/>
    <col min="4629" max="4629" width="42.5703125" style="681" customWidth="1"/>
    <col min="4630" max="4864" width="10.140625" style="681"/>
    <col min="4865" max="4865" width="5.140625" style="681" customWidth="1"/>
    <col min="4866" max="4866" width="33.7109375" style="681" customWidth="1"/>
    <col min="4867" max="4867" width="16.85546875" style="681" customWidth="1"/>
    <col min="4868" max="4868" width="15.85546875" style="681" customWidth="1"/>
    <col min="4869" max="4883" width="12.42578125" style="681" customWidth="1"/>
    <col min="4884" max="4884" width="12.140625" style="681" customWidth="1"/>
    <col min="4885" max="4885" width="42.5703125" style="681" customWidth="1"/>
    <col min="4886" max="5120" width="10.140625" style="681"/>
    <col min="5121" max="5121" width="5.140625" style="681" customWidth="1"/>
    <col min="5122" max="5122" width="33.7109375" style="681" customWidth="1"/>
    <col min="5123" max="5123" width="16.85546875" style="681" customWidth="1"/>
    <col min="5124" max="5124" width="15.85546875" style="681" customWidth="1"/>
    <col min="5125" max="5139" width="12.42578125" style="681" customWidth="1"/>
    <col min="5140" max="5140" width="12.140625" style="681" customWidth="1"/>
    <col min="5141" max="5141" width="42.5703125" style="681" customWidth="1"/>
    <col min="5142" max="5376" width="10.140625" style="681"/>
    <col min="5377" max="5377" width="5.140625" style="681" customWidth="1"/>
    <col min="5378" max="5378" width="33.7109375" style="681" customWidth="1"/>
    <col min="5379" max="5379" width="16.85546875" style="681" customWidth="1"/>
    <col min="5380" max="5380" width="15.85546875" style="681" customWidth="1"/>
    <col min="5381" max="5395" width="12.42578125" style="681" customWidth="1"/>
    <col min="5396" max="5396" width="12.140625" style="681" customWidth="1"/>
    <col min="5397" max="5397" width="42.5703125" style="681" customWidth="1"/>
    <col min="5398" max="5632" width="10.140625" style="681"/>
    <col min="5633" max="5633" width="5.140625" style="681" customWidth="1"/>
    <col min="5634" max="5634" width="33.7109375" style="681" customWidth="1"/>
    <col min="5635" max="5635" width="16.85546875" style="681" customWidth="1"/>
    <col min="5636" max="5636" width="15.85546875" style="681" customWidth="1"/>
    <col min="5637" max="5651" width="12.42578125" style="681" customWidth="1"/>
    <col min="5652" max="5652" width="12.140625" style="681" customWidth="1"/>
    <col min="5653" max="5653" width="42.5703125" style="681" customWidth="1"/>
    <col min="5654" max="5888" width="10.140625" style="681"/>
    <col min="5889" max="5889" width="5.140625" style="681" customWidth="1"/>
    <col min="5890" max="5890" width="33.7109375" style="681" customWidth="1"/>
    <col min="5891" max="5891" width="16.85546875" style="681" customWidth="1"/>
    <col min="5892" max="5892" width="15.85546875" style="681" customWidth="1"/>
    <col min="5893" max="5907" width="12.42578125" style="681" customWidth="1"/>
    <col min="5908" max="5908" width="12.140625" style="681" customWidth="1"/>
    <col min="5909" max="5909" width="42.5703125" style="681" customWidth="1"/>
    <col min="5910" max="6144" width="10.140625" style="681"/>
    <col min="6145" max="6145" width="5.140625" style="681" customWidth="1"/>
    <col min="6146" max="6146" width="33.7109375" style="681" customWidth="1"/>
    <col min="6147" max="6147" width="16.85546875" style="681" customWidth="1"/>
    <col min="6148" max="6148" width="15.85546875" style="681" customWidth="1"/>
    <col min="6149" max="6163" width="12.42578125" style="681" customWidth="1"/>
    <col min="6164" max="6164" width="12.140625" style="681" customWidth="1"/>
    <col min="6165" max="6165" width="42.5703125" style="681" customWidth="1"/>
    <col min="6166" max="6400" width="10.140625" style="681"/>
    <col min="6401" max="6401" width="5.140625" style="681" customWidth="1"/>
    <col min="6402" max="6402" width="33.7109375" style="681" customWidth="1"/>
    <col min="6403" max="6403" width="16.85546875" style="681" customWidth="1"/>
    <col min="6404" max="6404" width="15.85546875" style="681" customWidth="1"/>
    <col min="6405" max="6419" width="12.42578125" style="681" customWidth="1"/>
    <col min="6420" max="6420" width="12.140625" style="681" customWidth="1"/>
    <col min="6421" max="6421" width="42.5703125" style="681" customWidth="1"/>
    <col min="6422" max="6656" width="10.140625" style="681"/>
    <col min="6657" max="6657" width="5.140625" style="681" customWidth="1"/>
    <col min="6658" max="6658" width="33.7109375" style="681" customWidth="1"/>
    <col min="6659" max="6659" width="16.85546875" style="681" customWidth="1"/>
    <col min="6660" max="6660" width="15.85546875" style="681" customWidth="1"/>
    <col min="6661" max="6675" width="12.42578125" style="681" customWidth="1"/>
    <col min="6676" max="6676" width="12.140625" style="681" customWidth="1"/>
    <col min="6677" max="6677" width="42.5703125" style="681" customWidth="1"/>
    <col min="6678" max="6912" width="10.140625" style="681"/>
    <col min="6913" max="6913" width="5.140625" style="681" customWidth="1"/>
    <col min="6914" max="6914" width="33.7109375" style="681" customWidth="1"/>
    <col min="6915" max="6915" width="16.85546875" style="681" customWidth="1"/>
    <col min="6916" max="6916" width="15.85546875" style="681" customWidth="1"/>
    <col min="6917" max="6931" width="12.42578125" style="681" customWidth="1"/>
    <col min="6932" max="6932" width="12.140625" style="681" customWidth="1"/>
    <col min="6933" max="6933" width="42.5703125" style="681" customWidth="1"/>
    <col min="6934" max="7168" width="10.140625" style="681"/>
    <col min="7169" max="7169" width="5.140625" style="681" customWidth="1"/>
    <col min="7170" max="7170" width="33.7109375" style="681" customWidth="1"/>
    <col min="7171" max="7171" width="16.85546875" style="681" customWidth="1"/>
    <col min="7172" max="7172" width="15.85546875" style="681" customWidth="1"/>
    <col min="7173" max="7187" width="12.42578125" style="681" customWidth="1"/>
    <col min="7188" max="7188" width="12.140625" style="681" customWidth="1"/>
    <col min="7189" max="7189" width="42.5703125" style="681" customWidth="1"/>
    <col min="7190" max="7424" width="10.140625" style="681"/>
    <col min="7425" max="7425" width="5.140625" style="681" customWidth="1"/>
    <col min="7426" max="7426" width="33.7109375" style="681" customWidth="1"/>
    <col min="7427" max="7427" width="16.85546875" style="681" customWidth="1"/>
    <col min="7428" max="7428" width="15.85546875" style="681" customWidth="1"/>
    <col min="7429" max="7443" width="12.42578125" style="681" customWidth="1"/>
    <col min="7444" max="7444" width="12.140625" style="681" customWidth="1"/>
    <col min="7445" max="7445" width="42.5703125" style="681" customWidth="1"/>
    <col min="7446" max="7680" width="10.140625" style="681"/>
    <col min="7681" max="7681" width="5.140625" style="681" customWidth="1"/>
    <col min="7682" max="7682" width="33.7109375" style="681" customWidth="1"/>
    <col min="7683" max="7683" width="16.85546875" style="681" customWidth="1"/>
    <col min="7684" max="7684" width="15.85546875" style="681" customWidth="1"/>
    <col min="7685" max="7699" width="12.42578125" style="681" customWidth="1"/>
    <col min="7700" max="7700" width="12.140625" style="681" customWidth="1"/>
    <col min="7701" max="7701" width="42.5703125" style="681" customWidth="1"/>
    <col min="7702" max="7936" width="10.140625" style="681"/>
    <col min="7937" max="7937" width="5.140625" style="681" customWidth="1"/>
    <col min="7938" max="7938" width="33.7109375" style="681" customWidth="1"/>
    <col min="7939" max="7939" width="16.85546875" style="681" customWidth="1"/>
    <col min="7940" max="7940" width="15.85546875" style="681" customWidth="1"/>
    <col min="7941" max="7955" width="12.42578125" style="681" customWidth="1"/>
    <col min="7956" max="7956" width="12.140625" style="681" customWidth="1"/>
    <col min="7957" max="7957" width="42.5703125" style="681" customWidth="1"/>
    <col min="7958" max="8192" width="10.140625" style="681"/>
    <col min="8193" max="8193" width="5.140625" style="681" customWidth="1"/>
    <col min="8194" max="8194" width="33.7109375" style="681" customWidth="1"/>
    <col min="8195" max="8195" width="16.85546875" style="681" customWidth="1"/>
    <col min="8196" max="8196" width="15.85546875" style="681" customWidth="1"/>
    <col min="8197" max="8211" width="12.42578125" style="681" customWidth="1"/>
    <col min="8212" max="8212" width="12.140625" style="681" customWidth="1"/>
    <col min="8213" max="8213" width="42.5703125" style="681" customWidth="1"/>
    <col min="8214" max="8448" width="10.140625" style="681"/>
    <col min="8449" max="8449" width="5.140625" style="681" customWidth="1"/>
    <col min="8450" max="8450" width="33.7109375" style="681" customWidth="1"/>
    <col min="8451" max="8451" width="16.85546875" style="681" customWidth="1"/>
    <col min="8452" max="8452" width="15.85546875" style="681" customWidth="1"/>
    <col min="8453" max="8467" width="12.42578125" style="681" customWidth="1"/>
    <col min="8468" max="8468" width="12.140625" style="681" customWidth="1"/>
    <col min="8469" max="8469" width="42.5703125" style="681" customWidth="1"/>
    <col min="8470" max="8704" width="10.140625" style="681"/>
    <col min="8705" max="8705" width="5.140625" style="681" customWidth="1"/>
    <col min="8706" max="8706" width="33.7109375" style="681" customWidth="1"/>
    <col min="8707" max="8707" width="16.85546875" style="681" customWidth="1"/>
    <col min="8708" max="8708" width="15.85546875" style="681" customWidth="1"/>
    <col min="8709" max="8723" width="12.42578125" style="681" customWidth="1"/>
    <col min="8724" max="8724" width="12.140625" style="681" customWidth="1"/>
    <col min="8725" max="8725" width="42.5703125" style="681" customWidth="1"/>
    <col min="8726" max="8960" width="10.140625" style="681"/>
    <col min="8961" max="8961" width="5.140625" style="681" customWidth="1"/>
    <col min="8962" max="8962" width="33.7109375" style="681" customWidth="1"/>
    <col min="8963" max="8963" width="16.85546875" style="681" customWidth="1"/>
    <col min="8964" max="8964" width="15.85546875" style="681" customWidth="1"/>
    <col min="8965" max="8979" width="12.42578125" style="681" customWidth="1"/>
    <col min="8980" max="8980" width="12.140625" style="681" customWidth="1"/>
    <col min="8981" max="8981" width="42.5703125" style="681" customWidth="1"/>
    <col min="8982" max="9216" width="10.140625" style="681"/>
    <col min="9217" max="9217" width="5.140625" style="681" customWidth="1"/>
    <col min="9218" max="9218" width="33.7109375" style="681" customWidth="1"/>
    <col min="9219" max="9219" width="16.85546875" style="681" customWidth="1"/>
    <col min="9220" max="9220" width="15.85546875" style="681" customWidth="1"/>
    <col min="9221" max="9235" width="12.42578125" style="681" customWidth="1"/>
    <col min="9236" max="9236" width="12.140625" style="681" customWidth="1"/>
    <col min="9237" max="9237" width="42.5703125" style="681" customWidth="1"/>
    <col min="9238" max="9472" width="10.140625" style="681"/>
    <col min="9473" max="9473" width="5.140625" style="681" customWidth="1"/>
    <col min="9474" max="9474" width="33.7109375" style="681" customWidth="1"/>
    <col min="9475" max="9475" width="16.85546875" style="681" customWidth="1"/>
    <col min="9476" max="9476" width="15.85546875" style="681" customWidth="1"/>
    <col min="9477" max="9491" width="12.42578125" style="681" customWidth="1"/>
    <col min="9492" max="9492" width="12.140625" style="681" customWidth="1"/>
    <col min="9493" max="9493" width="42.5703125" style="681" customWidth="1"/>
    <col min="9494" max="9728" width="10.140625" style="681"/>
    <col min="9729" max="9729" width="5.140625" style="681" customWidth="1"/>
    <col min="9730" max="9730" width="33.7109375" style="681" customWidth="1"/>
    <col min="9731" max="9731" width="16.85546875" style="681" customWidth="1"/>
    <col min="9732" max="9732" width="15.85546875" style="681" customWidth="1"/>
    <col min="9733" max="9747" width="12.42578125" style="681" customWidth="1"/>
    <col min="9748" max="9748" width="12.140625" style="681" customWidth="1"/>
    <col min="9749" max="9749" width="42.5703125" style="681" customWidth="1"/>
    <col min="9750" max="9984" width="10.140625" style="681"/>
    <col min="9985" max="9985" width="5.140625" style="681" customWidth="1"/>
    <col min="9986" max="9986" width="33.7109375" style="681" customWidth="1"/>
    <col min="9987" max="9987" width="16.85546875" style="681" customWidth="1"/>
    <col min="9988" max="9988" width="15.85546875" style="681" customWidth="1"/>
    <col min="9989" max="10003" width="12.42578125" style="681" customWidth="1"/>
    <col min="10004" max="10004" width="12.140625" style="681" customWidth="1"/>
    <col min="10005" max="10005" width="42.5703125" style="681" customWidth="1"/>
    <col min="10006" max="10240" width="10.140625" style="681"/>
    <col min="10241" max="10241" width="5.140625" style="681" customWidth="1"/>
    <col min="10242" max="10242" width="33.7109375" style="681" customWidth="1"/>
    <col min="10243" max="10243" width="16.85546875" style="681" customWidth="1"/>
    <col min="10244" max="10244" width="15.85546875" style="681" customWidth="1"/>
    <col min="10245" max="10259" width="12.42578125" style="681" customWidth="1"/>
    <col min="10260" max="10260" width="12.140625" style="681" customWidth="1"/>
    <col min="10261" max="10261" width="42.5703125" style="681" customWidth="1"/>
    <col min="10262" max="10496" width="10.140625" style="681"/>
    <col min="10497" max="10497" width="5.140625" style="681" customWidth="1"/>
    <col min="10498" max="10498" width="33.7109375" style="681" customWidth="1"/>
    <col min="10499" max="10499" width="16.85546875" style="681" customWidth="1"/>
    <col min="10500" max="10500" width="15.85546875" style="681" customWidth="1"/>
    <col min="10501" max="10515" width="12.42578125" style="681" customWidth="1"/>
    <col min="10516" max="10516" width="12.140625" style="681" customWidth="1"/>
    <col min="10517" max="10517" width="42.5703125" style="681" customWidth="1"/>
    <col min="10518" max="10752" width="10.140625" style="681"/>
    <col min="10753" max="10753" width="5.140625" style="681" customWidth="1"/>
    <col min="10754" max="10754" width="33.7109375" style="681" customWidth="1"/>
    <col min="10755" max="10755" width="16.85546875" style="681" customWidth="1"/>
    <col min="10756" max="10756" width="15.85546875" style="681" customWidth="1"/>
    <col min="10757" max="10771" width="12.42578125" style="681" customWidth="1"/>
    <col min="10772" max="10772" width="12.140625" style="681" customWidth="1"/>
    <col min="10773" max="10773" width="42.5703125" style="681" customWidth="1"/>
    <col min="10774" max="11008" width="10.140625" style="681"/>
    <col min="11009" max="11009" width="5.140625" style="681" customWidth="1"/>
    <col min="11010" max="11010" width="33.7109375" style="681" customWidth="1"/>
    <col min="11011" max="11011" width="16.85546875" style="681" customWidth="1"/>
    <col min="11012" max="11012" width="15.85546875" style="681" customWidth="1"/>
    <col min="11013" max="11027" width="12.42578125" style="681" customWidth="1"/>
    <col min="11028" max="11028" width="12.140625" style="681" customWidth="1"/>
    <col min="11029" max="11029" width="42.5703125" style="681" customWidth="1"/>
    <col min="11030" max="11264" width="10.140625" style="681"/>
    <col min="11265" max="11265" width="5.140625" style="681" customWidth="1"/>
    <col min="11266" max="11266" width="33.7109375" style="681" customWidth="1"/>
    <col min="11267" max="11267" width="16.85546875" style="681" customWidth="1"/>
    <col min="11268" max="11268" width="15.85546875" style="681" customWidth="1"/>
    <col min="11269" max="11283" width="12.42578125" style="681" customWidth="1"/>
    <col min="11284" max="11284" width="12.140625" style="681" customWidth="1"/>
    <col min="11285" max="11285" width="42.5703125" style="681" customWidth="1"/>
    <col min="11286" max="11520" width="10.140625" style="681"/>
    <col min="11521" max="11521" width="5.140625" style="681" customWidth="1"/>
    <col min="11522" max="11522" width="33.7109375" style="681" customWidth="1"/>
    <col min="11523" max="11523" width="16.85546875" style="681" customWidth="1"/>
    <col min="11524" max="11524" width="15.85546875" style="681" customWidth="1"/>
    <col min="11525" max="11539" width="12.42578125" style="681" customWidth="1"/>
    <col min="11540" max="11540" width="12.140625" style="681" customWidth="1"/>
    <col min="11541" max="11541" width="42.5703125" style="681" customWidth="1"/>
    <col min="11542" max="11776" width="10.140625" style="681"/>
    <col min="11777" max="11777" width="5.140625" style="681" customWidth="1"/>
    <col min="11778" max="11778" width="33.7109375" style="681" customWidth="1"/>
    <col min="11779" max="11779" width="16.85546875" style="681" customWidth="1"/>
    <col min="11780" max="11780" width="15.85546875" style="681" customWidth="1"/>
    <col min="11781" max="11795" width="12.42578125" style="681" customWidth="1"/>
    <col min="11796" max="11796" width="12.140625" style="681" customWidth="1"/>
    <col min="11797" max="11797" width="42.5703125" style="681" customWidth="1"/>
    <col min="11798" max="12032" width="10.140625" style="681"/>
    <col min="12033" max="12033" width="5.140625" style="681" customWidth="1"/>
    <col min="12034" max="12034" width="33.7109375" style="681" customWidth="1"/>
    <col min="12035" max="12035" width="16.85546875" style="681" customWidth="1"/>
    <col min="12036" max="12036" width="15.85546875" style="681" customWidth="1"/>
    <col min="12037" max="12051" width="12.42578125" style="681" customWidth="1"/>
    <col min="12052" max="12052" width="12.140625" style="681" customWidth="1"/>
    <col min="12053" max="12053" width="42.5703125" style="681" customWidth="1"/>
    <col min="12054" max="12288" width="10.140625" style="681"/>
    <col min="12289" max="12289" width="5.140625" style="681" customWidth="1"/>
    <col min="12290" max="12290" width="33.7109375" style="681" customWidth="1"/>
    <col min="12291" max="12291" width="16.85546875" style="681" customWidth="1"/>
    <col min="12292" max="12292" width="15.85546875" style="681" customWidth="1"/>
    <col min="12293" max="12307" width="12.42578125" style="681" customWidth="1"/>
    <col min="12308" max="12308" width="12.140625" style="681" customWidth="1"/>
    <col min="12309" max="12309" width="42.5703125" style="681" customWidth="1"/>
    <col min="12310" max="12544" width="10.140625" style="681"/>
    <col min="12545" max="12545" width="5.140625" style="681" customWidth="1"/>
    <col min="12546" max="12546" width="33.7109375" style="681" customWidth="1"/>
    <col min="12547" max="12547" width="16.85546875" style="681" customWidth="1"/>
    <col min="12548" max="12548" width="15.85546875" style="681" customWidth="1"/>
    <col min="12549" max="12563" width="12.42578125" style="681" customWidth="1"/>
    <col min="12564" max="12564" width="12.140625" style="681" customWidth="1"/>
    <col min="12565" max="12565" width="42.5703125" style="681" customWidth="1"/>
    <col min="12566" max="12800" width="10.140625" style="681"/>
    <col min="12801" max="12801" width="5.140625" style="681" customWidth="1"/>
    <col min="12802" max="12802" width="33.7109375" style="681" customWidth="1"/>
    <col min="12803" max="12803" width="16.85546875" style="681" customWidth="1"/>
    <col min="12804" max="12804" width="15.85546875" style="681" customWidth="1"/>
    <col min="12805" max="12819" width="12.42578125" style="681" customWidth="1"/>
    <col min="12820" max="12820" width="12.140625" style="681" customWidth="1"/>
    <col min="12821" max="12821" width="42.5703125" style="681" customWidth="1"/>
    <col min="12822" max="13056" width="10.140625" style="681"/>
    <col min="13057" max="13057" width="5.140625" style="681" customWidth="1"/>
    <col min="13058" max="13058" width="33.7109375" style="681" customWidth="1"/>
    <col min="13059" max="13059" width="16.85546875" style="681" customWidth="1"/>
    <col min="13060" max="13060" width="15.85546875" style="681" customWidth="1"/>
    <col min="13061" max="13075" width="12.42578125" style="681" customWidth="1"/>
    <col min="13076" max="13076" width="12.140625" style="681" customWidth="1"/>
    <col min="13077" max="13077" width="42.5703125" style="681" customWidth="1"/>
    <col min="13078" max="13312" width="10.140625" style="681"/>
    <col min="13313" max="13313" width="5.140625" style="681" customWidth="1"/>
    <col min="13314" max="13314" width="33.7109375" style="681" customWidth="1"/>
    <col min="13315" max="13315" width="16.85546875" style="681" customWidth="1"/>
    <col min="13316" max="13316" width="15.85546875" style="681" customWidth="1"/>
    <col min="13317" max="13331" width="12.42578125" style="681" customWidth="1"/>
    <col min="13332" max="13332" width="12.140625" style="681" customWidth="1"/>
    <col min="13333" max="13333" width="42.5703125" style="681" customWidth="1"/>
    <col min="13334" max="13568" width="10.140625" style="681"/>
    <col min="13569" max="13569" width="5.140625" style="681" customWidth="1"/>
    <col min="13570" max="13570" width="33.7109375" style="681" customWidth="1"/>
    <col min="13571" max="13571" width="16.85546875" style="681" customWidth="1"/>
    <col min="13572" max="13572" width="15.85546875" style="681" customWidth="1"/>
    <col min="13573" max="13587" width="12.42578125" style="681" customWidth="1"/>
    <col min="13588" max="13588" width="12.140625" style="681" customWidth="1"/>
    <col min="13589" max="13589" width="42.5703125" style="681" customWidth="1"/>
    <col min="13590" max="13824" width="10.140625" style="681"/>
    <col min="13825" max="13825" width="5.140625" style="681" customWidth="1"/>
    <col min="13826" max="13826" width="33.7109375" style="681" customWidth="1"/>
    <col min="13827" max="13827" width="16.85546875" style="681" customWidth="1"/>
    <col min="13828" max="13828" width="15.85546875" style="681" customWidth="1"/>
    <col min="13829" max="13843" width="12.42578125" style="681" customWidth="1"/>
    <col min="13844" max="13844" width="12.140625" style="681" customWidth="1"/>
    <col min="13845" max="13845" width="42.5703125" style="681" customWidth="1"/>
    <col min="13846" max="14080" width="10.140625" style="681"/>
    <col min="14081" max="14081" width="5.140625" style="681" customWidth="1"/>
    <col min="14082" max="14082" width="33.7109375" style="681" customWidth="1"/>
    <col min="14083" max="14083" width="16.85546875" style="681" customWidth="1"/>
    <col min="14084" max="14084" width="15.85546875" style="681" customWidth="1"/>
    <col min="14085" max="14099" width="12.42578125" style="681" customWidth="1"/>
    <col min="14100" max="14100" width="12.140625" style="681" customWidth="1"/>
    <col min="14101" max="14101" width="42.5703125" style="681" customWidth="1"/>
    <col min="14102" max="14336" width="10.140625" style="681"/>
    <col min="14337" max="14337" width="5.140625" style="681" customWidth="1"/>
    <col min="14338" max="14338" width="33.7109375" style="681" customWidth="1"/>
    <col min="14339" max="14339" width="16.85546875" style="681" customWidth="1"/>
    <col min="14340" max="14340" width="15.85546875" style="681" customWidth="1"/>
    <col min="14341" max="14355" width="12.42578125" style="681" customWidth="1"/>
    <col min="14356" max="14356" width="12.140625" style="681" customWidth="1"/>
    <col min="14357" max="14357" width="42.5703125" style="681" customWidth="1"/>
    <col min="14358" max="14592" width="10.140625" style="681"/>
    <col min="14593" max="14593" width="5.140625" style="681" customWidth="1"/>
    <col min="14594" max="14594" width="33.7109375" style="681" customWidth="1"/>
    <col min="14595" max="14595" width="16.85546875" style="681" customWidth="1"/>
    <col min="14596" max="14596" width="15.85546875" style="681" customWidth="1"/>
    <col min="14597" max="14611" width="12.42578125" style="681" customWidth="1"/>
    <col min="14612" max="14612" width="12.140625" style="681" customWidth="1"/>
    <col min="14613" max="14613" width="42.5703125" style="681" customWidth="1"/>
    <col min="14614" max="14848" width="10.140625" style="681"/>
    <col min="14849" max="14849" width="5.140625" style="681" customWidth="1"/>
    <col min="14850" max="14850" width="33.7109375" style="681" customWidth="1"/>
    <col min="14851" max="14851" width="16.85546875" style="681" customWidth="1"/>
    <col min="14852" max="14852" width="15.85546875" style="681" customWidth="1"/>
    <col min="14853" max="14867" width="12.42578125" style="681" customWidth="1"/>
    <col min="14868" max="14868" width="12.140625" style="681" customWidth="1"/>
    <col min="14869" max="14869" width="42.5703125" style="681" customWidth="1"/>
    <col min="14870" max="15104" width="10.140625" style="681"/>
    <col min="15105" max="15105" width="5.140625" style="681" customWidth="1"/>
    <col min="15106" max="15106" width="33.7109375" style="681" customWidth="1"/>
    <col min="15107" max="15107" width="16.85546875" style="681" customWidth="1"/>
    <col min="15108" max="15108" width="15.85546875" style="681" customWidth="1"/>
    <col min="15109" max="15123" width="12.42578125" style="681" customWidth="1"/>
    <col min="15124" max="15124" width="12.140625" style="681" customWidth="1"/>
    <col min="15125" max="15125" width="42.5703125" style="681" customWidth="1"/>
    <col min="15126" max="15360" width="10.140625" style="681"/>
    <col min="15361" max="15361" width="5.140625" style="681" customWidth="1"/>
    <col min="15362" max="15362" width="33.7109375" style="681" customWidth="1"/>
    <col min="15363" max="15363" width="16.85546875" style="681" customWidth="1"/>
    <col min="15364" max="15364" width="15.85546875" style="681" customWidth="1"/>
    <col min="15365" max="15379" width="12.42578125" style="681" customWidth="1"/>
    <col min="15380" max="15380" width="12.140625" style="681" customWidth="1"/>
    <col min="15381" max="15381" width="42.5703125" style="681" customWidth="1"/>
    <col min="15382" max="15616" width="10.140625" style="681"/>
    <col min="15617" max="15617" width="5.140625" style="681" customWidth="1"/>
    <col min="15618" max="15618" width="33.7109375" style="681" customWidth="1"/>
    <col min="15619" max="15619" width="16.85546875" style="681" customWidth="1"/>
    <col min="15620" max="15620" width="15.85546875" style="681" customWidth="1"/>
    <col min="15621" max="15635" width="12.42578125" style="681" customWidth="1"/>
    <col min="15636" max="15636" width="12.140625" style="681" customWidth="1"/>
    <col min="15637" max="15637" width="42.5703125" style="681" customWidth="1"/>
    <col min="15638" max="15872" width="10.140625" style="681"/>
    <col min="15873" max="15873" width="5.140625" style="681" customWidth="1"/>
    <col min="15874" max="15874" width="33.7109375" style="681" customWidth="1"/>
    <col min="15875" max="15875" width="16.85546875" style="681" customWidth="1"/>
    <col min="15876" max="15876" width="15.85546875" style="681" customWidth="1"/>
    <col min="15877" max="15891" width="12.42578125" style="681" customWidth="1"/>
    <col min="15892" max="15892" width="12.140625" style="681" customWidth="1"/>
    <col min="15893" max="15893" width="42.5703125" style="681" customWidth="1"/>
    <col min="15894" max="16128" width="10.140625" style="681"/>
    <col min="16129" max="16129" width="5.140625" style="681" customWidth="1"/>
    <col min="16130" max="16130" width="33.7109375" style="681" customWidth="1"/>
    <col min="16131" max="16131" width="16.85546875" style="681" customWidth="1"/>
    <col min="16132" max="16132" width="15.85546875" style="681" customWidth="1"/>
    <col min="16133" max="16147" width="12.42578125" style="681" customWidth="1"/>
    <col min="16148" max="16148" width="12.140625" style="681" customWidth="1"/>
    <col min="16149" max="16149" width="42.5703125" style="681" customWidth="1"/>
    <col min="16150" max="16384" width="10.140625" style="681"/>
  </cols>
  <sheetData>
    <row r="1" spans="1:21" ht="21" customHeight="1">
      <c r="A1" s="678"/>
      <c r="B1" s="679"/>
      <c r="C1" s="679"/>
      <c r="D1" s="546"/>
      <c r="E1" s="546"/>
      <c r="F1" s="546"/>
      <c r="G1" s="546"/>
      <c r="H1" s="546"/>
      <c r="I1" s="546"/>
      <c r="J1" s="546"/>
      <c r="K1" s="546"/>
      <c r="L1" s="546"/>
      <c r="M1" s="546"/>
      <c r="N1" s="546"/>
      <c r="O1" s="546"/>
      <c r="P1" s="546"/>
      <c r="Q1" s="546"/>
      <c r="R1" s="35"/>
      <c r="S1" s="680" t="s">
        <v>282</v>
      </c>
    </row>
    <row r="2" spans="1:21" ht="18.75">
      <c r="A2" s="1120" t="s">
        <v>283</v>
      </c>
      <c r="B2" s="1121"/>
      <c r="C2" s="1121"/>
      <c r="D2" s="1121"/>
      <c r="E2" s="1121"/>
      <c r="F2" s="1121"/>
      <c r="G2" s="1121"/>
      <c r="H2" s="1121"/>
      <c r="I2" s="1121"/>
      <c r="J2" s="1121"/>
      <c r="K2" s="1121"/>
      <c r="L2" s="1121"/>
      <c r="M2" s="1121"/>
      <c r="N2" s="1121"/>
      <c r="O2" s="1121"/>
      <c r="P2" s="1121"/>
      <c r="Q2" s="1121"/>
      <c r="R2" s="1121"/>
      <c r="S2" s="1121"/>
    </row>
    <row r="3" spans="1:21" ht="18" customHeight="1">
      <c r="A3" s="1122" t="s">
        <v>525</v>
      </c>
      <c r="B3" s="1122"/>
      <c r="C3" s="1122"/>
      <c r="D3" s="1122"/>
      <c r="E3" s="1122"/>
      <c r="F3" s="1122"/>
      <c r="G3" s="1122"/>
      <c r="H3" s="1122"/>
      <c r="I3" s="1122"/>
      <c r="J3" s="1122"/>
      <c r="K3" s="1122"/>
      <c r="L3" s="1122"/>
      <c r="M3" s="1122"/>
      <c r="N3" s="1122"/>
      <c r="O3" s="1122"/>
      <c r="P3" s="1122"/>
      <c r="Q3" s="1122"/>
      <c r="R3" s="1122"/>
      <c r="S3" s="1122"/>
      <c r="T3" s="682">
        <f>T4-T10</f>
        <v>173555</v>
      </c>
    </row>
    <row r="4" spans="1:21" ht="19.5" customHeight="1">
      <c r="A4" s="683"/>
      <c r="B4" s="684"/>
      <c r="C4" s="684"/>
      <c r="D4" s="546"/>
      <c r="E4" s="36"/>
      <c r="F4" s="36"/>
      <c r="G4" s="36"/>
      <c r="H4" s="685"/>
      <c r="I4" s="685"/>
      <c r="J4" s="685"/>
      <c r="K4" s="685"/>
      <c r="L4" s="685"/>
      <c r="M4" s="685"/>
      <c r="N4" s="685"/>
      <c r="O4" s="685"/>
      <c r="P4" s="685"/>
      <c r="Q4" s="685"/>
      <c r="R4" s="685"/>
      <c r="S4" s="686" t="s">
        <v>2</v>
      </c>
      <c r="T4" s="681">
        <v>295529</v>
      </c>
    </row>
    <row r="5" spans="1:21" s="687" customFormat="1" ht="18.75" customHeight="1">
      <c r="A5" s="1119" t="s">
        <v>3</v>
      </c>
      <c r="B5" s="1119" t="s">
        <v>88</v>
      </c>
      <c r="C5" s="1116" t="s">
        <v>89</v>
      </c>
      <c r="D5" s="1119" t="s">
        <v>63</v>
      </c>
      <c r="E5" s="1119" t="s">
        <v>263</v>
      </c>
      <c r="F5" s="1119" t="s">
        <v>264</v>
      </c>
      <c r="G5" s="1119" t="s">
        <v>50</v>
      </c>
      <c r="H5" s="1119" t="s">
        <v>51</v>
      </c>
      <c r="I5" s="1119" t="s">
        <v>52</v>
      </c>
      <c r="J5" s="1119" t="s">
        <v>53</v>
      </c>
      <c r="K5" s="1119" t="s">
        <v>54</v>
      </c>
      <c r="L5" s="1119" t="s">
        <v>55</v>
      </c>
      <c r="M5" s="1119" t="s">
        <v>56</v>
      </c>
      <c r="N5" s="1119" t="s">
        <v>57</v>
      </c>
      <c r="O5" s="1119" t="s">
        <v>40</v>
      </c>
      <c r="P5" s="1119"/>
      <c r="Q5" s="1119" t="s">
        <v>58</v>
      </c>
      <c r="R5" s="1119" t="s">
        <v>59</v>
      </c>
      <c r="S5" s="1119" t="s">
        <v>65</v>
      </c>
      <c r="T5" s="1119" t="s">
        <v>284</v>
      </c>
      <c r="U5" s="1116" t="s">
        <v>285</v>
      </c>
    </row>
    <row r="6" spans="1:21" s="687" customFormat="1" ht="65.25" customHeight="1">
      <c r="A6" s="1123"/>
      <c r="B6" s="1119"/>
      <c r="C6" s="1117"/>
      <c r="D6" s="1119"/>
      <c r="E6" s="1119"/>
      <c r="F6" s="1119"/>
      <c r="G6" s="1119"/>
      <c r="H6" s="1119"/>
      <c r="I6" s="1119"/>
      <c r="J6" s="1119"/>
      <c r="K6" s="1119"/>
      <c r="L6" s="1119"/>
      <c r="M6" s="1119"/>
      <c r="N6" s="1119"/>
      <c r="O6" s="1119" t="s">
        <v>266</v>
      </c>
      <c r="P6" s="1119" t="s">
        <v>267</v>
      </c>
      <c r="Q6" s="1119"/>
      <c r="R6" s="1119"/>
      <c r="S6" s="1119"/>
      <c r="T6" s="1119"/>
      <c r="U6" s="1117"/>
    </row>
    <row r="7" spans="1:21" s="687" customFormat="1" ht="63.75" customHeight="1">
      <c r="A7" s="1123"/>
      <c r="B7" s="1119"/>
      <c r="C7" s="1117"/>
      <c r="D7" s="1119"/>
      <c r="E7" s="1119"/>
      <c r="F7" s="1119"/>
      <c r="G7" s="1119"/>
      <c r="H7" s="1119"/>
      <c r="I7" s="1119"/>
      <c r="J7" s="1119"/>
      <c r="K7" s="1119"/>
      <c r="L7" s="1119"/>
      <c r="M7" s="1119"/>
      <c r="N7" s="1119"/>
      <c r="O7" s="1119"/>
      <c r="P7" s="1119"/>
      <c r="Q7" s="1119"/>
      <c r="R7" s="1119"/>
      <c r="S7" s="1119"/>
      <c r="T7" s="1119"/>
      <c r="U7" s="1117"/>
    </row>
    <row r="8" spans="1:21" s="687" customFormat="1" ht="65.25" customHeight="1">
      <c r="A8" s="1123"/>
      <c r="B8" s="1119"/>
      <c r="C8" s="1118"/>
      <c r="D8" s="1119"/>
      <c r="E8" s="1119"/>
      <c r="F8" s="1119"/>
      <c r="G8" s="1119"/>
      <c r="H8" s="1119"/>
      <c r="I8" s="1119"/>
      <c r="J8" s="1119"/>
      <c r="K8" s="1119"/>
      <c r="L8" s="1119"/>
      <c r="M8" s="1119"/>
      <c r="N8" s="1119"/>
      <c r="O8" s="1119"/>
      <c r="P8" s="1119"/>
      <c r="Q8" s="1119"/>
      <c r="R8" s="1119"/>
      <c r="S8" s="1119"/>
      <c r="T8" s="1119"/>
      <c r="U8" s="1118"/>
    </row>
    <row r="9" spans="1:21" s="691" customFormat="1" ht="17.25" customHeight="1">
      <c r="A9" s="688" t="s">
        <v>10</v>
      </c>
      <c r="B9" s="689" t="s">
        <v>11</v>
      </c>
      <c r="C9" s="689" t="s">
        <v>286</v>
      </c>
      <c r="D9" s="688">
        <v>2</v>
      </c>
      <c r="E9" s="690">
        <f t="shared" ref="E9:U9" si="0">D9+1</f>
        <v>3</v>
      </c>
      <c r="F9" s="690">
        <f t="shared" si="0"/>
        <v>4</v>
      </c>
      <c r="G9" s="690">
        <f t="shared" si="0"/>
        <v>5</v>
      </c>
      <c r="H9" s="690">
        <f t="shared" si="0"/>
        <v>6</v>
      </c>
      <c r="I9" s="690">
        <f t="shared" si="0"/>
        <v>7</v>
      </c>
      <c r="J9" s="690">
        <f t="shared" si="0"/>
        <v>8</v>
      </c>
      <c r="K9" s="690">
        <f t="shared" si="0"/>
        <v>9</v>
      </c>
      <c r="L9" s="690">
        <f t="shared" si="0"/>
        <v>10</v>
      </c>
      <c r="M9" s="690">
        <f t="shared" si="0"/>
        <v>11</v>
      </c>
      <c r="N9" s="690">
        <f t="shared" si="0"/>
        <v>12</v>
      </c>
      <c r="O9" s="690">
        <f t="shared" si="0"/>
        <v>13</v>
      </c>
      <c r="P9" s="690">
        <f t="shared" si="0"/>
        <v>14</v>
      </c>
      <c r="Q9" s="690">
        <f t="shared" si="0"/>
        <v>15</v>
      </c>
      <c r="R9" s="690">
        <f t="shared" si="0"/>
        <v>16</v>
      </c>
      <c r="S9" s="690">
        <f t="shared" si="0"/>
        <v>17</v>
      </c>
      <c r="T9" s="690">
        <f t="shared" si="0"/>
        <v>18</v>
      </c>
      <c r="U9" s="690">
        <f t="shared" si="0"/>
        <v>19</v>
      </c>
    </row>
    <row r="10" spans="1:21" s="36" customFormat="1" ht="18" customHeight="1">
      <c r="A10" s="37"/>
      <c r="B10" s="692" t="s">
        <v>102</v>
      </c>
      <c r="C10" s="24">
        <f t="shared" ref="C10:U10" si="1">C11+C89</f>
        <v>2335699</v>
      </c>
      <c r="D10" s="24">
        <f t="shared" si="1"/>
        <v>2088385</v>
      </c>
      <c r="E10" s="24">
        <f t="shared" si="1"/>
        <v>515371</v>
      </c>
      <c r="F10" s="24">
        <f t="shared" si="1"/>
        <v>8104</v>
      </c>
      <c r="G10" s="24">
        <f t="shared" si="1"/>
        <v>77485</v>
      </c>
      <c r="H10" s="24">
        <f t="shared" si="1"/>
        <v>58699</v>
      </c>
      <c r="I10" s="24">
        <f t="shared" si="1"/>
        <v>602961</v>
      </c>
      <c r="J10" s="24">
        <f t="shared" si="1"/>
        <v>75639</v>
      </c>
      <c r="K10" s="24">
        <f t="shared" si="1"/>
        <v>14918</v>
      </c>
      <c r="L10" s="24">
        <f t="shared" si="1"/>
        <v>13730</v>
      </c>
      <c r="M10" s="24">
        <f t="shared" si="1"/>
        <v>10726</v>
      </c>
      <c r="N10" s="24">
        <f t="shared" si="1"/>
        <v>207659</v>
      </c>
      <c r="O10" s="24">
        <f t="shared" si="1"/>
        <v>28118</v>
      </c>
      <c r="P10" s="24">
        <f t="shared" si="1"/>
        <v>103642</v>
      </c>
      <c r="Q10" s="24">
        <f t="shared" si="1"/>
        <v>430359</v>
      </c>
      <c r="R10" s="24">
        <f t="shared" si="1"/>
        <v>72292</v>
      </c>
      <c r="S10" s="24">
        <f t="shared" si="1"/>
        <v>442</v>
      </c>
      <c r="T10" s="24">
        <f t="shared" si="1"/>
        <v>121974</v>
      </c>
      <c r="U10" s="24">
        <f t="shared" si="1"/>
        <v>125340</v>
      </c>
    </row>
    <row r="11" spans="1:21" s="35" customFormat="1" ht="18.75" hidden="1" customHeight="1">
      <c r="A11" s="38" t="s">
        <v>10</v>
      </c>
      <c r="B11" s="39" t="s">
        <v>287</v>
      </c>
      <c r="C11" s="24">
        <f t="shared" ref="C11:U11" si="2">C12+C30+C49+C86+C87+C88</f>
        <v>2335699</v>
      </c>
      <c r="D11" s="24">
        <f t="shared" si="2"/>
        <v>2088385</v>
      </c>
      <c r="E11" s="24">
        <f t="shared" si="2"/>
        <v>515371</v>
      </c>
      <c r="F11" s="24">
        <f t="shared" si="2"/>
        <v>8104</v>
      </c>
      <c r="G11" s="24">
        <f t="shared" si="2"/>
        <v>77485</v>
      </c>
      <c r="H11" s="24">
        <f t="shared" si="2"/>
        <v>58699</v>
      </c>
      <c r="I11" s="24">
        <f t="shared" si="2"/>
        <v>602961</v>
      </c>
      <c r="J11" s="24">
        <f t="shared" si="2"/>
        <v>75639</v>
      </c>
      <c r="K11" s="24">
        <f t="shared" si="2"/>
        <v>14918</v>
      </c>
      <c r="L11" s="24">
        <f t="shared" si="2"/>
        <v>13730</v>
      </c>
      <c r="M11" s="24">
        <f t="shared" si="2"/>
        <v>10726</v>
      </c>
      <c r="N11" s="24">
        <f t="shared" si="2"/>
        <v>207659</v>
      </c>
      <c r="O11" s="24">
        <f t="shared" si="2"/>
        <v>28118</v>
      </c>
      <c r="P11" s="24">
        <f t="shared" si="2"/>
        <v>103642</v>
      </c>
      <c r="Q11" s="24">
        <f t="shared" si="2"/>
        <v>430359</v>
      </c>
      <c r="R11" s="24">
        <f t="shared" si="2"/>
        <v>72292</v>
      </c>
      <c r="S11" s="24">
        <f t="shared" si="2"/>
        <v>442</v>
      </c>
      <c r="T11" s="24">
        <f t="shared" si="2"/>
        <v>121974</v>
      </c>
      <c r="U11" s="24">
        <f t="shared" si="2"/>
        <v>125340</v>
      </c>
    </row>
    <row r="12" spans="1:21" s="35" customFormat="1" ht="18.75">
      <c r="A12" s="38" t="s">
        <v>15</v>
      </c>
      <c r="B12" s="39" t="s">
        <v>107</v>
      </c>
      <c r="C12" s="24">
        <f t="shared" ref="C12:U12" si="3">SUM(C13:C29)</f>
        <v>1522802</v>
      </c>
      <c r="D12" s="24">
        <f t="shared" si="3"/>
        <v>1376708</v>
      </c>
      <c r="E12" s="24">
        <f t="shared" si="3"/>
        <v>458024</v>
      </c>
      <c r="F12" s="24">
        <f t="shared" si="3"/>
        <v>7549</v>
      </c>
      <c r="G12" s="24">
        <f t="shared" si="3"/>
        <v>0</v>
      </c>
      <c r="H12" s="24">
        <f t="shared" si="3"/>
        <v>0</v>
      </c>
      <c r="I12" s="24">
        <f t="shared" si="3"/>
        <v>315665</v>
      </c>
      <c r="J12" s="24">
        <f t="shared" si="3"/>
        <v>75639</v>
      </c>
      <c r="K12" s="24">
        <f t="shared" si="3"/>
        <v>0</v>
      </c>
      <c r="L12" s="24">
        <f t="shared" si="3"/>
        <v>13730</v>
      </c>
      <c r="M12" s="24">
        <f t="shared" si="3"/>
        <v>10726</v>
      </c>
      <c r="N12" s="24">
        <f t="shared" si="3"/>
        <v>172986</v>
      </c>
      <c r="O12" s="24">
        <f t="shared" si="3"/>
        <v>28118</v>
      </c>
      <c r="P12" s="24">
        <f t="shared" si="3"/>
        <v>92909</v>
      </c>
      <c r="Q12" s="24">
        <f t="shared" si="3"/>
        <v>295546</v>
      </c>
      <c r="R12" s="24">
        <f t="shared" si="3"/>
        <v>26843</v>
      </c>
      <c r="S12" s="24">
        <f t="shared" si="3"/>
        <v>0</v>
      </c>
      <c r="T12" s="24">
        <f t="shared" si="3"/>
        <v>57627</v>
      </c>
      <c r="U12" s="24">
        <f t="shared" si="3"/>
        <v>88467</v>
      </c>
    </row>
    <row r="13" spans="1:21" s="36" customFormat="1" ht="18.75">
      <c r="A13" s="27" t="s">
        <v>288</v>
      </c>
      <c r="B13" s="28" t="s">
        <v>109</v>
      </c>
      <c r="C13" s="699">
        <f>D13+T13+U13</f>
        <v>193293</v>
      </c>
      <c r="D13" s="26">
        <f>SUM(E13:N13)+Q13+R13+S13</f>
        <v>176369</v>
      </c>
      <c r="E13" s="26"/>
      <c r="F13" s="26"/>
      <c r="G13" s="26"/>
      <c r="H13" s="26"/>
      <c r="I13" s="26"/>
      <c r="J13" s="26"/>
      <c r="K13" s="26"/>
      <c r="L13" s="26"/>
      <c r="M13" s="26"/>
      <c r="N13" s="26">
        <f>81613+11296</f>
        <v>92909</v>
      </c>
      <c r="O13" s="26"/>
      <c r="P13" s="26">
        <f>N13</f>
        <v>92909</v>
      </c>
      <c r="Q13" s="26">
        <f>81997+464+999</f>
        <v>83460</v>
      </c>
      <c r="R13" s="26"/>
      <c r="S13" s="26"/>
      <c r="T13" s="26">
        <v>4240</v>
      </c>
      <c r="U13" s="26">
        <f>1550+10755+379</f>
        <v>12684</v>
      </c>
    </row>
    <row r="14" spans="1:21" s="36" customFormat="1" ht="18.75">
      <c r="A14" s="27" t="s">
        <v>289</v>
      </c>
      <c r="B14" s="28" t="s">
        <v>112</v>
      </c>
      <c r="C14" s="699">
        <f t="shared" ref="C14:C76" si="4">D14+T14+U14</f>
        <v>86472</v>
      </c>
      <c r="D14" s="26">
        <f t="shared" ref="D14:D77" si="5">SUM(E14:N14)+Q14+R14+S14</f>
        <v>35004</v>
      </c>
      <c r="E14" s="26"/>
      <c r="F14" s="26"/>
      <c r="G14" s="26"/>
      <c r="H14" s="26"/>
      <c r="I14" s="26"/>
      <c r="J14" s="26"/>
      <c r="K14" s="26"/>
      <c r="L14" s="26"/>
      <c r="M14" s="26"/>
      <c r="N14" s="26">
        <v>28118</v>
      </c>
      <c r="O14" s="26">
        <f>N14</f>
        <v>28118</v>
      </c>
      <c r="P14" s="26"/>
      <c r="Q14" s="26">
        <v>6886</v>
      </c>
      <c r="R14" s="26"/>
      <c r="S14" s="26"/>
      <c r="T14" s="26">
        <f>51435</f>
        <v>51435</v>
      </c>
      <c r="U14" s="26">
        <f>33</f>
        <v>33</v>
      </c>
    </row>
    <row r="15" spans="1:21" s="36" customFormat="1" ht="18.75">
      <c r="A15" s="27" t="s">
        <v>290</v>
      </c>
      <c r="B15" s="28" t="s">
        <v>114</v>
      </c>
      <c r="C15" s="699">
        <f t="shared" si="4"/>
        <v>1503</v>
      </c>
      <c r="D15" s="26">
        <f>SUM(E15:N15)+Q15+R15+S15</f>
        <v>452</v>
      </c>
      <c r="E15" s="26"/>
      <c r="F15" s="26"/>
      <c r="G15" s="26"/>
      <c r="H15" s="26"/>
      <c r="I15" s="26"/>
      <c r="J15" s="26"/>
      <c r="K15" s="26"/>
      <c r="L15" s="26"/>
      <c r="M15" s="26"/>
      <c r="N15" s="26"/>
      <c r="O15" s="26"/>
      <c r="P15" s="26"/>
      <c r="Q15" s="26">
        <v>452</v>
      </c>
      <c r="R15" s="26"/>
      <c r="S15" s="26"/>
      <c r="T15" s="26">
        <v>1051</v>
      </c>
      <c r="U15" s="26"/>
    </row>
    <row r="16" spans="1:21" s="36" customFormat="1" ht="18.75">
      <c r="A16" s="27" t="s">
        <v>291</v>
      </c>
      <c r="B16" s="28" t="s">
        <v>116</v>
      </c>
      <c r="C16" s="699">
        <f t="shared" si="4"/>
        <v>14617</v>
      </c>
      <c r="D16" s="26">
        <f t="shared" si="5"/>
        <v>14617</v>
      </c>
      <c r="E16" s="26"/>
      <c r="F16" s="26"/>
      <c r="G16" s="26"/>
      <c r="H16" s="26"/>
      <c r="I16" s="26"/>
      <c r="J16" s="26"/>
      <c r="K16" s="26"/>
      <c r="L16" s="26"/>
      <c r="M16" s="26"/>
      <c r="N16" s="26">
        <f>4993-99+3977</f>
        <v>8871</v>
      </c>
      <c r="O16" s="26"/>
      <c r="P16" s="26"/>
      <c r="Q16" s="26">
        <f>5458+288</f>
        <v>5746</v>
      </c>
      <c r="R16" s="26"/>
      <c r="S16" s="26"/>
      <c r="T16" s="26"/>
      <c r="U16" s="26"/>
    </row>
    <row r="17" spans="1:21" s="36" customFormat="1" ht="18.75">
      <c r="A17" s="27" t="s">
        <v>292</v>
      </c>
      <c r="B17" s="28" t="s">
        <v>118</v>
      </c>
      <c r="C17" s="699">
        <f t="shared" si="4"/>
        <v>42209</v>
      </c>
      <c r="D17" s="26">
        <f t="shared" si="5"/>
        <v>42209</v>
      </c>
      <c r="E17" s="26"/>
      <c r="F17" s="26"/>
      <c r="G17" s="26"/>
      <c r="H17" s="26"/>
      <c r="I17" s="26"/>
      <c r="J17" s="26"/>
      <c r="K17" s="26"/>
      <c r="L17" s="26"/>
      <c r="M17" s="26">
        <f>10625+101</f>
        <v>10726</v>
      </c>
      <c r="N17" s="26">
        <f>22854+154</f>
        <v>23008</v>
      </c>
      <c r="O17" s="26"/>
      <c r="P17" s="26"/>
      <c r="Q17" s="26">
        <f>7558+917</f>
        <v>8475</v>
      </c>
      <c r="R17" s="26"/>
      <c r="S17" s="26"/>
      <c r="T17" s="26"/>
      <c r="U17" s="26"/>
    </row>
    <row r="18" spans="1:21" s="36" customFormat="1" ht="18.75">
      <c r="A18" s="27" t="s">
        <v>293</v>
      </c>
      <c r="B18" s="28" t="s">
        <v>120</v>
      </c>
      <c r="C18" s="699">
        <f t="shared" si="4"/>
        <v>11202</v>
      </c>
      <c r="D18" s="26">
        <f t="shared" si="5"/>
        <v>10414</v>
      </c>
      <c r="E18" s="26"/>
      <c r="F18" s="26"/>
      <c r="G18" s="26"/>
      <c r="H18" s="26"/>
      <c r="I18" s="26"/>
      <c r="J18" s="26"/>
      <c r="K18" s="26"/>
      <c r="L18" s="26"/>
      <c r="M18" s="26"/>
      <c r="N18" s="26">
        <v>2513</v>
      </c>
      <c r="O18" s="26"/>
      <c r="P18" s="26"/>
      <c r="Q18" s="26">
        <v>7901</v>
      </c>
      <c r="R18" s="26"/>
      <c r="S18" s="26"/>
      <c r="T18" s="26">
        <f>300</f>
        <v>300</v>
      </c>
      <c r="U18" s="26">
        <f>488</f>
        <v>488</v>
      </c>
    </row>
    <row r="19" spans="1:21" s="36" customFormat="1" ht="18.75">
      <c r="A19" s="27" t="s">
        <v>294</v>
      </c>
      <c r="B19" s="28" t="s">
        <v>122</v>
      </c>
      <c r="C19" s="699">
        <f t="shared" si="4"/>
        <v>516568</v>
      </c>
      <c r="D19" s="26">
        <f t="shared" si="5"/>
        <v>464388</v>
      </c>
      <c r="E19" s="26">
        <f>399239+2458+53030</f>
        <v>454727</v>
      </c>
      <c r="F19" s="26"/>
      <c r="G19" s="26"/>
      <c r="H19" s="26"/>
      <c r="I19" s="26"/>
      <c r="J19" s="26"/>
      <c r="K19" s="26"/>
      <c r="L19" s="26"/>
      <c r="M19" s="26"/>
      <c r="N19" s="26"/>
      <c r="O19" s="26"/>
      <c r="P19" s="26"/>
      <c r="Q19" s="26">
        <f>8543+1118</f>
        <v>9661</v>
      </c>
      <c r="R19" s="26"/>
      <c r="S19" s="26"/>
      <c r="T19" s="26">
        <f>215</f>
        <v>215</v>
      </c>
      <c r="U19" s="26">
        <f>51965</f>
        <v>51965</v>
      </c>
    </row>
    <row r="20" spans="1:21" s="36" customFormat="1" ht="18.75">
      <c r="A20" s="27" t="s">
        <v>295</v>
      </c>
      <c r="B20" s="28" t="s">
        <v>124</v>
      </c>
      <c r="C20" s="699">
        <f t="shared" si="4"/>
        <v>334807</v>
      </c>
      <c r="D20" s="26">
        <f t="shared" si="5"/>
        <v>324132</v>
      </c>
      <c r="E20" s="26"/>
      <c r="F20" s="26"/>
      <c r="G20" s="26"/>
      <c r="H20" s="26"/>
      <c r="I20" s="26">
        <v>311625</v>
      </c>
      <c r="J20" s="26"/>
      <c r="K20" s="26"/>
      <c r="L20" s="26"/>
      <c r="M20" s="26"/>
      <c r="N20" s="26"/>
      <c r="O20" s="26"/>
      <c r="P20" s="26"/>
      <c r="Q20" s="26">
        <v>12507</v>
      </c>
      <c r="R20" s="26"/>
      <c r="S20" s="26"/>
      <c r="T20" s="26"/>
      <c r="U20" s="26">
        <v>10675</v>
      </c>
    </row>
    <row r="21" spans="1:21" s="36" customFormat="1" ht="37.5">
      <c r="A21" s="27" t="s">
        <v>296</v>
      </c>
      <c r="B21" s="28" t="s">
        <v>126</v>
      </c>
      <c r="C21" s="699">
        <f t="shared" si="4"/>
        <v>63744</v>
      </c>
      <c r="D21" s="26">
        <f t="shared" si="5"/>
        <v>59367</v>
      </c>
      <c r="E21" s="26">
        <v>70</v>
      </c>
      <c r="F21" s="26"/>
      <c r="G21" s="26"/>
      <c r="H21" s="26"/>
      <c r="I21" s="26"/>
      <c r="J21" s="26">
        <f>33716+450+681+856+137</f>
        <v>35840</v>
      </c>
      <c r="K21" s="26"/>
      <c r="L21" s="26">
        <f>13260+470</f>
        <v>13730</v>
      </c>
      <c r="M21" s="26"/>
      <c r="N21" s="26"/>
      <c r="O21" s="26"/>
      <c r="P21" s="26"/>
      <c r="Q21" s="26">
        <f>8038+1151+538</f>
        <v>9727</v>
      </c>
      <c r="R21" s="26"/>
      <c r="S21" s="26"/>
      <c r="T21" s="26">
        <f>40</f>
        <v>40</v>
      </c>
      <c r="U21" s="26">
        <f>4337</f>
        <v>4337</v>
      </c>
    </row>
    <row r="22" spans="1:21" s="36" customFormat="1" ht="37.5">
      <c r="A22" s="27" t="s">
        <v>297</v>
      </c>
      <c r="B22" s="28" t="s">
        <v>128</v>
      </c>
      <c r="C22" s="699">
        <f t="shared" si="4"/>
        <v>38404</v>
      </c>
      <c r="D22" s="26">
        <f t="shared" si="5"/>
        <v>33367</v>
      </c>
      <c r="E22" s="26">
        <v>100</v>
      </c>
      <c r="F22" s="26"/>
      <c r="G22" s="26"/>
      <c r="H22" s="26"/>
      <c r="I22" s="26"/>
      <c r="J22" s="26"/>
      <c r="K22" s="26"/>
      <c r="L22" s="26"/>
      <c r="M22" s="26"/>
      <c r="N22" s="26"/>
      <c r="O22" s="26"/>
      <c r="P22" s="26"/>
      <c r="Q22" s="26">
        <f>9180+932</f>
        <v>10112</v>
      </c>
      <c r="R22" s="26">
        <f>22407+231+517</f>
        <v>23155</v>
      </c>
      <c r="S22" s="26"/>
      <c r="T22" s="26">
        <f>182</f>
        <v>182</v>
      </c>
      <c r="U22" s="26">
        <f>4855</f>
        <v>4855</v>
      </c>
    </row>
    <row r="23" spans="1:21" s="36" customFormat="1" ht="18.75">
      <c r="A23" s="27" t="s">
        <v>298</v>
      </c>
      <c r="B23" s="28" t="s">
        <v>130</v>
      </c>
      <c r="C23" s="699">
        <f t="shared" si="4"/>
        <v>11856</v>
      </c>
      <c r="D23" s="26">
        <f t="shared" si="5"/>
        <v>11696</v>
      </c>
      <c r="E23" s="26">
        <v>347</v>
      </c>
      <c r="F23" s="26"/>
      <c r="G23" s="26"/>
      <c r="H23" s="26"/>
      <c r="I23" s="26"/>
      <c r="J23" s="26"/>
      <c r="K23" s="26"/>
      <c r="L23" s="26"/>
      <c r="M23" s="26"/>
      <c r="N23" s="26"/>
      <c r="O23" s="26"/>
      <c r="P23" s="26"/>
      <c r="Q23" s="26">
        <f>6816+185+660</f>
        <v>7661</v>
      </c>
      <c r="R23" s="26">
        <f>3550+138</f>
        <v>3688</v>
      </c>
      <c r="S23" s="26"/>
      <c r="T23" s="26">
        <v>32</v>
      </c>
      <c r="U23" s="26">
        <v>128</v>
      </c>
    </row>
    <row r="24" spans="1:21" s="36" customFormat="1" ht="18.75">
      <c r="A24" s="27" t="s">
        <v>299</v>
      </c>
      <c r="B24" s="28" t="s">
        <v>132</v>
      </c>
      <c r="C24" s="699">
        <f t="shared" si="4"/>
        <v>100510</v>
      </c>
      <c r="D24" s="26">
        <f t="shared" si="5"/>
        <v>100510</v>
      </c>
      <c r="E24" s="26"/>
      <c r="F24" s="26"/>
      <c r="G24" s="26"/>
      <c r="H24" s="26"/>
      <c r="I24" s="26">
        <v>4040</v>
      </c>
      <c r="J24" s="26">
        <f>21422+398</f>
        <v>21820</v>
      </c>
      <c r="K24" s="26"/>
      <c r="L24" s="26"/>
      <c r="M24" s="26"/>
      <c r="N24" s="26">
        <v>630</v>
      </c>
      <c r="O24" s="26"/>
      <c r="P24" s="26"/>
      <c r="Q24" s="26">
        <f>67722+6298</f>
        <v>74020</v>
      </c>
      <c r="R24" s="26"/>
      <c r="S24" s="26"/>
      <c r="T24" s="26"/>
      <c r="U24" s="26"/>
    </row>
    <row r="25" spans="1:21" s="36" customFormat="1" ht="18.75">
      <c r="A25" s="27" t="s">
        <v>300</v>
      </c>
      <c r="B25" s="28" t="s">
        <v>134</v>
      </c>
      <c r="C25" s="699">
        <f t="shared" si="4"/>
        <v>13843</v>
      </c>
      <c r="D25" s="26">
        <f t="shared" si="5"/>
        <v>13843</v>
      </c>
      <c r="E25" s="26"/>
      <c r="F25" s="26">
        <v>7549</v>
      </c>
      <c r="G25" s="26"/>
      <c r="H25" s="26"/>
      <c r="I25" s="26"/>
      <c r="J25" s="26"/>
      <c r="K25" s="26"/>
      <c r="L25" s="26"/>
      <c r="M25" s="26"/>
      <c r="N25" s="26"/>
      <c r="O25" s="26"/>
      <c r="P25" s="26"/>
      <c r="Q25" s="26">
        <f>5503+791</f>
        <v>6294</v>
      </c>
      <c r="R25" s="26"/>
      <c r="S25" s="26"/>
      <c r="T25" s="26"/>
      <c r="U25" s="26"/>
    </row>
    <row r="26" spans="1:21" s="36" customFormat="1" ht="18.75">
      <c r="A26" s="27" t="s">
        <v>301</v>
      </c>
      <c r="B26" s="28" t="s">
        <v>136</v>
      </c>
      <c r="C26" s="699">
        <f t="shared" si="4"/>
        <v>11869</v>
      </c>
      <c r="D26" s="26">
        <f t="shared" si="5"/>
        <v>11411</v>
      </c>
      <c r="E26" s="26">
        <v>242</v>
      </c>
      <c r="F26" s="26"/>
      <c r="G26" s="26"/>
      <c r="H26" s="26"/>
      <c r="I26" s="26"/>
      <c r="J26" s="26">
        <f>2623+293</f>
        <v>2916</v>
      </c>
      <c r="K26" s="26"/>
      <c r="L26" s="26"/>
      <c r="M26" s="26"/>
      <c r="N26" s="26">
        <f>1182+28</f>
        <v>1210</v>
      </c>
      <c r="O26" s="26"/>
      <c r="P26" s="26"/>
      <c r="Q26" s="26">
        <f>6659+384</f>
        <v>7043</v>
      </c>
      <c r="R26" s="26"/>
      <c r="S26" s="26"/>
      <c r="T26" s="26">
        <f>100</f>
        <v>100</v>
      </c>
      <c r="U26" s="26">
        <f>358</f>
        <v>358</v>
      </c>
    </row>
    <row r="27" spans="1:21" s="36" customFormat="1" ht="18.75">
      <c r="A27" s="27" t="s">
        <v>302</v>
      </c>
      <c r="B27" s="28" t="s">
        <v>138</v>
      </c>
      <c r="C27" s="699">
        <f t="shared" si="4"/>
        <v>25078</v>
      </c>
      <c r="D27" s="26">
        <f t="shared" si="5"/>
        <v>23278</v>
      </c>
      <c r="E27" s="26">
        <v>220</v>
      </c>
      <c r="F27" s="26"/>
      <c r="G27" s="26"/>
      <c r="H27" s="26"/>
      <c r="I27" s="26"/>
      <c r="J27" s="26">
        <f>14871+50+142</f>
        <v>15063</v>
      </c>
      <c r="K27" s="26"/>
      <c r="L27" s="26"/>
      <c r="M27" s="26"/>
      <c r="N27" s="26"/>
      <c r="O27" s="26"/>
      <c r="P27" s="26"/>
      <c r="Q27" s="26">
        <f>7442+553</f>
        <v>7995</v>
      </c>
      <c r="R27" s="26"/>
      <c r="S27" s="26"/>
      <c r="T27" s="26">
        <f>32</f>
        <v>32</v>
      </c>
      <c r="U27" s="26">
        <f>1768</f>
        <v>1768</v>
      </c>
    </row>
    <row r="28" spans="1:21" s="36" customFormat="1" ht="18.75">
      <c r="A28" s="27" t="s">
        <v>303</v>
      </c>
      <c r="B28" s="28" t="s">
        <v>140</v>
      </c>
      <c r="C28" s="699">
        <f t="shared" si="4"/>
        <v>23118</v>
      </c>
      <c r="D28" s="26">
        <f t="shared" si="5"/>
        <v>23118</v>
      </c>
      <c r="E28" s="26"/>
      <c r="F28" s="26"/>
      <c r="G28" s="26"/>
      <c r="H28" s="26"/>
      <c r="I28" s="26"/>
      <c r="J28" s="26"/>
      <c r="K28" s="26"/>
      <c r="L28" s="26"/>
      <c r="M28" s="26"/>
      <c r="N28" s="26">
        <f>14568+252</f>
        <v>14820</v>
      </c>
      <c r="O28" s="26"/>
      <c r="P28" s="26"/>
      <c r="Q28" s="26">
        <f>7442+856</f>
        <v>8298</v>
      </c>
      <c r="R28" s="26"/>
      <c r="S28" s="26"/>
      <c r="T28" s="26"/>
      <c r="U28" s="26"/>
    </row>
    <row r="29" spans="1:21" s="36" customFormat="1" ht="18.75">
      <c r="A29" s="27" t="s">
        <v>304</v>
      </c>
      <c r="B29" s="28" t="s">
        <v>141</v>
      </c>
      <c r="C29" s="699">
        <f t="shared" si="4"/>
        <v>33709</v>
      </c>
      <c r="D29" s="26">
        <f t="shared" si="5"/>
        <v>32533</v>
      </c>
      <c r="E29" s="26">
        <v>2318</v>
      </c>
      <c r="F29" s="26"/>
      <c r="G29" s="26"/>
      <c r="H29" s="26"/>
      <c r="I29" s="26"/>
      <c r="J29" s="26"/>
      <c r="K29" s="26"/>
      <c r="L29" s="26"/>
      <c r="M29" s="26"/>
      <c r="N29" s="26">
        <f>779+128</f>
        <v>907</v>
      </c>
      <c r="O29" s="26"/>
      <c r="P29" s="26"/>
      <c r="Q29" s="26">
        <f>14736+9448+1424+3700</f>
        <v>29308</v>
      </c>
      <c r="R29" s="26"/>
      <c r="S29" s="26"/>
      <c r="T29" s="26"/>
      <c r="U29" s="26">
        <v>1176</v>
      </c>
    </row>
    <row r="30" spans="1:21" s="35" customFormat="1" ht="18.75">
      <c r="A30" s="38" t="s">
        <v>25</v>
      </c>
      <c r="B30" s="39" t="s">
        <v>142</v>
      </c>
      <c r="C30" s="24">
        <f t="shared" ref="C30:U30" si="6">SUM(C31:C48)</f>
        <v>405462</v>
      </c>
      <c r="D30" s="24">
        <f t="shared" si="6"/>
        <v>363513</v>
      </c>
      <c r="E30" s="24">
        <f t="shared" si="6"/>
        <v>57347</v>
      </c>
      <c r="F30" s="24">
        <f t="shared" si="6"/>
        <v>0</v>
      </c>
      <c r="G30" s="24">
        <f t="shared" si="6"/>
        <v>77485</v>
      </c>
      <c r="H30" s="24">
        <f t="shared" si="6"/>
        <v>58699</v>
      </c>
      <c r="I30" s="24">
        <f t="shared" si="6"/>
        <v>0</v>
      </c>
      <c r="J30" s="24">
        <f t="shared" si="6"/>
        <v>0</v>
      </c>
      <c r="K30" s="24">
        <f t="shared" si="6"/>
        <v>14918</v>
      </c>
      <c r="L30" s="24">
        <f t="shared" si="6"/>
        <v>0</v>
      </c>
      <c r="M30" s="24">
        <f t="shared" si="6"/>
        <v>0</v>
      </c>
      <c r="N30" s="24">
        <f t="shared" si="6"/>
        <v>34673</v>
      </c>
      <c r="O30" s="24">
        <f t="shared" si="6"/>
        <v>0</v>
      </c>
      <c r="P30" s="24">
        <f t="shared" si="6"/>
        <v>10733</v>
      </c>
      <c r="Q30" s="24">
        <f t="shared" si="6"/>
        <v>120286</v>
      </c>
      <c r="R30" s="24">
        <f t="shared" si="6"/>
        <v>105</v>
      </c>
      <c r="S30" s="24">
        <f t="shared" si="6"/>
        <v>0</v>
      </c>
      <c r="T30" s="24">
        <f t="shared" si="6"/>
        <v>5900</v>
      </c>
      <c r="U30" s="24">
        <f t="shared" si="6"/>
        <v>36049</v>
      </c>
    </row>
    <row r="31" spans="1:21" s="36" customFormat="1" ht="37.5">
      <c r="A31" s="27" t="s">
        <v>288</v>
      </c>
      <c r="B31" s="28" t="s">
        <v>144</v>
      </c>
      <c r="C31" s="699">
        <f t="shared" si="4"/>
        <v>21119</v>
      </c>
      <c r="D31" s="26">
        <f t="shared" si="5"/>
        <v>10733</v>
      </c>
      <c r="E31" s="26"/>
      <c r="F31" s="26"/>
      <c r="G31" s="26"/>
      <c r="H31" s="26"/>
      <c r="I31" s="26"/>
      <c r="J31" s="26"/>
      <c r="K31" s="26"/>
      <c r="L31" s="26"/>
      <c r="M31" s="26"/>
      <c r="N31" s="26">
        <f>10656+77</f>
        <v>10733</v>
      </c>
      <c r="O31" s="26"/>
      <c r="P31" s="26">
        <f>N31</f>
        <v>10733</v>
      </c>
      <c r="Q31" s="26"/>
      <c r="R31" s="26"/>
      <c r="S31" s="26"/>
      <c r="T31" s="26">
        <v>5186</v>
      </c>
      <c r="U31" s="26">
        <v>5200</v>
      </c>
    </row>
    <row r="32" spans="1:21" s="36" customFormat="1" ht="18.75">
      <c r="A32" s="27" t="s">
        <v>289</v>
      </c>
      <c r="B32" s="28" t="s">
        <v>146</v>
      </c>
      <c r="C32" s="699">
        <f t="shared" si="4"/>
        <v>45964</v>
      </c>
      <c r="D32" s="26">
        <f t="shared" si="5"/>
        <v>44924</v>
      </c>
      <c r="E32" s="26">
        <f>38596+6328</f>
        <v>44924</v>
      </c>
      <c r="F32" s="26"/>
      <c r="G32" s="26"/>
      <c r="H32" s="26"/>
      <c r="I32" s="26"/>
      <c r="J32" s="26"/>
      <c r="K32" s="26"/>
      <c r="L32" s="26"/>
      <c r="M32" s="26"/>
      <c r="N32" s="26"/>
      <c r="O32" s="26"/>
      <c r="P32" s="26"/>
      <c r="Q32" s="26"/>
      <c r="R32" s="26"/>
      <c r="S32" s="26"/>
      <c r="T32" s="26"/>
      <c r="U32" s="26">
        <v>1040</v>
      </c>
    </row>
    <row r="33" spans="1:21" s="36" customFormat="1" ht="18.75">
      <c r="A33" s="27" t="s">
        <v>290</v>
      </c>
      <c r="B33" s="28" t="s">
        <v>148</v>
      </c>
      <c r="C33" s="699">
        <f t="shared" si="4"/>
        <v>12423</v>
      </c>
      <c r="D33" s="26">
        <f t="shared" si="5"/>
        <v>12423</v>
      </c>
      <c r="E33" s="26">
        <f>10773+1650</f>
        <v>12423</v>
      </c>
      <c r="F33" s="26"/>
      <c r="G33" s="26"/>
      <c r="H33" s="26"/>
      <c r="I33" s="26"/>
      <c r="J33" s="26"/>
      <c r="K33" s="26"/>
      <c r="L33" s="26"/>
      <c r="M33" s="26"/>
      <c r="N33" s="26"/>
      <c r="O33" s="26"/>
      <c r="P33" s="26"/>
      <c r="Q33" s="26"/>
      <c r="R33" s="26"/>
      <c r="S33" s="26"/>
      <c r="T33" s="26"/>
      <c r="U33" s="26"/>
    </row>
    <row r="34" spans="1:21" s="36" customFormat="1" ht="37.5">
      <c r="A34" s="27" t="s">
        <v>291</v>
      </c>
      <c r="B34" s="28" t="s">
        <v>150</v>
      </c>
      <c r="C34" s="699">
        <f t="shared" si="4"/>
        <v>14973</v>
      </c>
      <c r="D34" s="26">
        <f t="shared" si="5"/>
        <v>14918</v>
      </c>
      <c r="E34" s="26"/>
      <c r="F34" s="26"/>
      <c r="G34" s="26"/>
      <c r="H34" s="26"/>
      <c r="I34" s="26"/>
      <c r="J34" s="26"/>
      <c r="K34" s="26">
        <f>14035+883</f>
        <v>14918</v>
      </c>
      <c r="L34" s="26"/>
      <c r="M34" s="26"/>
      <c r="N34" s="26"/>
      <c r="O34" s="26"/>
      <c r="P34" s="26"/>
      <c r="Q34" s="26"/>
      <c r="R34" s="26"/>
      <c r="S34" s="26"/>
      <c r="T34" s="26">
        <v>55</v>
      </c>
      <c r="U34" s="26"/>
    </row>
    <row r="35" spans="1:21" s="36" customFormat="1" ht="18.75">
      <c r="A35" s="27" t="s">
        <v>292</v>
      </c>
      <c r="B35" s="28" t="s">
        <v>152</v>
      </c>
      <c r="C35" s="699">
        <f t="shared" si="4"/>
        <v>27773</v>
      </c>
      <c r="D35" s="26">
        <f t="shared" si="5"/>
        <v>7172</v>
      </c>
      <c r="E35" s="26"/>
      <c r="F35" s="26"/>
      <c r="G35" s="26"/>
      <c r="H35" s="26"/>
      <c r="I35" s="26"/>
      <c r="J35" s="26"/>
      <c r="K35" s="26"/>
      <c r="L35" s="26"/>
      <c r="M35" s="26"/>
      <c r="N35" s="26">
        <v>2932</v>
      </c>
      <c r="O35" s="26"/>
      <c r="P35" s="26"/>
      <c r="Q35" s="26">
        <f>3711+529</f>
        <v>4240</v>
      </c>
      <c r="R35" s="26"/>
      <c r="S35" s="26"/>
      <c r="T35" s="26"/>
      <c r="U35" s="26">
        <v>20601</v>
      </c>
    </row>
    <row r="36" spans="1:21" s="36" customFormat="1" ht="18.75">
      <c r="A36" s="27" t="s">
        <v>293</v>
      </c>
      <c r="B36" s="28" t="s">
        <v>154</v>
      </c>
      <c r="C36" s="699">
        <f t="shared" si="4"/>
        <v>16984</v>
      </c>
      <c r="D36" s="26">
        <f t="shared" si="5"/>
        <v>16984</v>
      </c>
      <c r="E36" s="26"/>
      <c r="F36" s="26"/>
      <c r="G36" s="26"/>
      <c r="H36" s="26"/>
      <c r="I36" s="26"/>
      <c r="J36" s="26"/>
      <c r="K36" s="26"/>
      <c r="L36" s="26"/>
      <c r="M36" s="26"/>
      <c r="N36" s="26">
        <v>1013</v>
      </c>
      <c r="O36" s="26"/>
      <c r="P36" s="26"/>
      <c r="Q36" s="26">
        <f>3755+11742+474</f>
        <v>15971</v>
      </c>
      <c r="R36" s="26"/>
      <c r="S36" s="26"/>
      <c r="T36" s="26"/>
      <c r="U36" s="26"/>
    </row>
    <row r="37" spans="1:21" s="36" customFormat="1" ht="18.75">
      <c r="A37" s="27" t="s">
        <v>294</v>
      </c>
      <c r="B37" s="28" t="s">
        <v>156</v>
      </c>
      <c r="C37" s="699">
        <f t="shared" si="4"/>
        <v>9662</v>
      </c>
      <c r="D37" s="26">
        <f t="shared" si="5"/>
        <v>9662</v>
      </c>
      <c r="E37" s="26"/>
      <c r="F37" s="26"/>
      <c r="G37" s="26"/>
      <c r="H37" s="26"/>
      <c r="I37" s="26"/>
      <c r="J37" s="26"/>
      <c r="K37" s="26"/>
      <c r="L37" s="26"/>
      <c r="M37" s="26"/>
      <c r="N37" s="26"/>
      <c r="O37" s="26"/>
      <c r="P37" s="26"/>
      <c r="Q37" s="26">
        <v>9662</v>
      </c>
      <c r="R37" s="26"/>
      <c r="S37" s="26"/>
      <c r="T37" s="26"/>
      <c r="U37" s="26"/>
    </row>
    <row r="38" spans="1:21" s="36" customFormat="1" ht="37.5">
      <c r="A38" s="27" t="s">
        <v>295</v>
      </c>
      <c r="B38" s="28" t="s">
        <v>158</v>
      </c>
      <c r="C38" s="699">
        <f t="shared" si="4"/>
        <v>17226</v>
      </c>
      <c r="D38" s="26">
        <f t="shared" si="5"/>
        <v>17226</v>
      </c>
      <c r="E38" s="26"/>
      <c r="F38" s="26"/>
      <c r="G38" s="26"/>
      <c r="H38" s="26"/>
      <c r="I38" s="26"/>
      <c r="J38" s="26"/>
      <c r="K38" s="26"/>
      <c r="L38" s="26"/>
      <c r="M38" s="26"/>
      <c r="N38" s="26"/>
      <c r="O38" s="26"/>
      <c r="P38" s="26"/>
      <c r="Q38" s="26">
        <f>15979+1247</f>
        <v>17226</v>
      </c>
      <c r="R38" s="26"/>
      <c r="S38" s="26"/>
      <c r="T38" s="26"/>
      <c r="U38" s="26"/>
    </row>
    <row r="39" spans="1:21" s="36" customFormat="1" ht="18.75">
      <c r="A39" s="27" t="s">
        <v>296</v>
      </c>
      <c r="B39" s="28" t="s">
        <v>160</v>
      </c>
      <c r="C39" s="699">
        <f t="shared" si="4"/>
        <v>15904</v>
      </c>
      <c r="D39" s="26">
        <f t="shared" si="5"/>
        <v>15471</v>
      </c>
      <c r="E39" s="26"/>
      <c r="F39" s="26"/>
      <c r="G39" s="26"/>
      <c r="H39" s="26"/>
      <c r="I39" s="26"/>
      <c r="J39" s="26"/>
      <c r="K39" s="26"/>
      <c r="L39" s="26"/>
      <c r="M39" s="26"/>
      <c r="N39" s="26">
        <f>4231+153</f>
        <v>4384</v>
      </c>
      <c r="O39" s="26"/>
      <c r="P39" s="26"/>
      <c r="Q39" s="26">
        <f>9857+1230</f>
        <v>11087</v>
      </c>
      <c r="R39" s="26"/>
      <c r="S39" s="26"/>
      <c r="T39" s="26">
        <f>400</f>
        <v>400</v>
      </c>
      <c r="U39" s="26">
        <v>33</v>
      </c>
    </row>
    <row r="40" spans="1:21" s="36" customFormat="1" ht="18.75">
      <c r="A40" s="27" t="s">
        <v>297</v>
      </c>
      <c r="B40" s="28" t="s">
        <v>162</v>
      </c>
      <c r="C40" s="699">
        <f t="shared" si="4"/>
        <v>12406</v>
      </c>
      <c r="D40" s="26">
        <f t="shared" si="5"/>
        <v>12373</v>
      </c>
      <c r="E40" s="26"/>
      <c r="F40" s="26"/>
      <c r="G40" s="26"/>
      <c r="H40" s="26"/>
      <c r="I40" s="26"/>
      <c r="J40" s="26"/>
      <c r="K40" s="26"/>
      <c r="L40" s="26"/>
      <c r="M40" s="26"/>
      <c r="N40" s="26">
        <v>500</v>
      </c>
      <c r="O40" s="26"/>
      <c r="P40" s="26"/>
      <c r="Q40" s="26">
        <v>11873</v>
      </c>
      <c r="R40" s="26"/>
      <c r="S40" s="26"/>
      <c r="T40" s="26"/>
      <c r="U40" s="26">
        <v>33</v>
      </c>
    </row>
    <row r="41" spans="1:21" s="36" customFormat="1" ht="18.75">
      <c r="A41" s="27" t="s">
        <v>298</v>
      </c>
      <c r="B41" s="28" t="s">
        <v>164</v>
      </c>
      <c r="C41" s="699">
        <f t="shared" si="4"/>
        <v>37011</v>
      </c>
      <c r="D41" s="26">
        <f t="shared" si="5"/>
        <v>37011</v>
      </c>
      <c r="E41" s="26"/>
      <c r="F41" s="26"/>
      <c r="G41" s="26"/>
      <c r="H41" s="26"/>
      <c r="I41" s="26"/>
      <c r="J41" s="26"/>
      <c r="K41" s="26"/>
      <c r="L41" s="26"/>
      <c r="M41" s="26"/>
      <c r="N41" s="26">
        <f>14803+87</f>
        <v>14890</v>
      </c>
      <c r="O41" s="26"/>
      <c r="P41" s="26"/>
      <c r="Q41" s="26">
        <f>20490+1631</f>
        <v>22121</v>
      </c>
      <c r="R41" s="26"/>
      <c r="S41" s="26"/>
      <c r="T41" s="26"/>
      <c r="U41" s="26"/>
    </row>
    <row r="42" spans="1:21" s="36" customFormat="1" ht="18.75">
      <c r="A42" s="27" t="s">
        <v>299</v>
      </c>
      <c r="B42" s="28" t="s">
        <v>166</v>
      </c>
      <c r="C42" s="699">
        <f t="shared" si="4"/>
        <v>3942</v>
      </c>
      <c r="D42" s="26">
        <f t="shared" si="5"/>
        <v>3942</v>
      </c>
      <c r="E42" s="26"/>
      <c r="F42" s="26"/>
      <c r="G42" s="26"/>
      <c r="H42" s="26"/>
      <c r="I42" s="26"/>
      <c r="J42" s="26"/>
      <c r="K42" s="26"/>
      <c r="L42" s="26"/>
      <c r="M42" s="26"/>
      <c r="N42" s="26"/>
      <c r="O42" s="26"/>
      <c r="P42" s="26"/>
      <c r="Q42" s="26">
        <f>3624+318</f>
        <v>3942</v>
      </c>
      <c r="R42" s="26"/>
      <c r="S42" s="26"/>
      <c r="T42" s="26"/>
      <c r="U42" s="26"/>
    </row>
    <row r="43" spans="1:21" s="36" customFormat="1" ht="18.75">
      <c r="A43" s="27" t="s">
        <v>300</v>
      </c>
      <c r="B43" s="28" t="s">
        <v>168</v>
      </c>
      <c r="C43" s="699">
        <f t="shared" si="4"/>
        <v>6792</v>
      </c>
      <c r="D43" s="26">
        <f t="shared" si="5"/>
        <v>5934</v>
      </c>
      <c r="E43" s="26"/>
      <c r="F43" s="26"/>
      <c r="G43" s="26"/>
      <c r="H43" s="26"/>
      <c r="I43" s="26"/>
      <c r="J43" s="26"/>
      <c r="K43" s="26"/>
      <c r="L43" s="26"/>
      <c r="M43" s="26"/>
      <c r="N43" s="26">
        <v>221</v>
      </c>
      <c r="O43" s="26"/>
      <c r="P43" s="26"/>
      <c r="Q43" s="26">
        <f>5202+511</f>
        <v>5713</v>
      </c>
      <c r="R43" s="26"/>
      <c r="S43" s="26"/>
      <c r="T43" s="26"/>
      <c r="U43" s="26">
        <v>858</v>
      </c>
    </row>
    <row r="44" spans="1:21" s="36" customFormat="1" ht="18.75">
      <c r="A44" s="27" t="s">
        <v>301</v>
      </c>
      <c r="B44" s="28" t="s">
        <v>170</v>
      </c>
      <c r="C44" s="699">
        <f t="shared" si="4"/>
        <v>11426</v>
      </c>
      <c r="D44" s="26">
        <f t="shared" si="5"/>
        <v>11226</v>
      </c>
      <c r="E44" s="26"/>
      <c r="F44" s="26"/>
      <c r="G44" s="26"/>
      <c r="H44" s="26"/>
      <c r="I44" s="26"/>
      <c r="J44" s="26"/>
      <c r="K44" s="26"/>
      <c r="L44" s="26"/>
      <c r="M44" s="26"/>
      <c r="N44" s="26"/>
      <c r="O44" s="26"/>
      <c r="P44" s="26"/>
      <c r="Q44" s="26">
        <f>10499+727</f>
        <v>11226</v>
      </c>
      <c r="R44" s="26"/>
      <c r="S44" s="26"/>
      <c r="T44" s="26"/>
      <c r="U44" s="26">
        <v>200</v>
      </c>
    </row>
    <row r="45" spans="1:21" s="36" customFormat="1" ht="18.75">
      <c r="A45" s="27" t="s">
        <v>302</v>
      </c>
      <c r="B45" s="28" t="s">
        <v>172</v>
      </c>
      <c r="C45" s="699">
        <f t="shared" si="4"/>
        <v>14356</v>
      </c>
      <c r="D45" s="26">
        <f t="shared" si="5"/>
        <v>7330</v>
      </c>
      <c r="E45" s="26"/>
      <c r="F45" s="26"/>
      <c r="G45" s="26"/>
      <c r="H45" s="26"/>
      <c r="I45" s="26"/>
      <c r="J45" s="26"/>
      <c r="K45" s="26"/>
      <c r="L45" s="26"/>
      <c r="M45" s="26"/>
      <c r="N45" s="26"/>
      <c r="O45" s="26"/>
      <c r="P45" s="26"/>
      <c r="Q45" s="26">
        <f>6612+613</f>
        <v>7225</v>
      </c>
      <c r="R45" s="26">
        <v>105</v>
      </c>
      <c r="S45" s="26"/>
      <c r="T45" s="26">
        <f>259</f>
        <v>259</v>
      </c>
      <c r="U45" s="26">
        <f>6767</f>
        <v>6767</v>
      </c>
    </row>
    <row r="46" spans="1:21" s="36" customFormat="1" ht="18.75">
      <c r="A46" s="27" t="s">
        <v>303</v>
      </c>
      <c r="B46" s="28" t="s">
        <v>174</v>
      </c>
      <c r="C46" s="699">
        <f t="shared" si="4"/>
        <v>60016</v>
      </c>
      <c r="D46" s="26">
        <f t="shared" si="5"/>
        <v>58699</v>
      </c>
      <c r="E46" s="26"/>
      <c r="F46" s="26"/>
      <c r="G46" s="26"/>
      <c r="H46" s="26">
        <v>58699</v>
      </c>
      <c r="I46" s="26"/>
      <c r="J46" s="26"/>
      <c r="K46" s="26"/>
      <c r="L46" s="26"/>
      <c r="M46" s="26"/>
      <c r="N46" s="26"/>
      <c r="O46" s="26"/>
      <c r="P46" s="26"/>
      <c r="Q46" s="26"/>
      <c r="R46" s="26"/>
      <c r="S46" s="26"/>
      <c r="T46" s="26"/>
      <c r="U46" s="26">
        <v>1317</v>
      </c>
    </row>
    <row r="47" spans="1:21" s="36" customFormat="1" ht="18.75">
      <c r="A47" s="27" t="s">
        <v>304</v>
      </c>
      <c r="B47" s="28" t="s">
        <v>176</v>
      </c>
      <c r="C47" s="699">
        <f t="shared" si="4"/>
        <v>46443</v>
      </c>
      <c r="D47" s="26">
        <f t="shared" si="5"/>
        <v>46443</v>
      </c>
      <c r="E47" s="26">
        <v>0</v>
      </c>
      <c r="F47" s="26"/>
      <c r="G47" s="26">
        <v>46443</v>
      </c>
      <c r="H47" s="26"/>
      <c r="I47" s="26"/>
      <c r="J47" s="26"/>
      <c r="K47" s="26"/>
      <c r="L47" s="26"/>
      <c r="M47" s="26"/>
      <c r="N47" s="26"/>
      <c r="O47" s="26"/>
      <c r="P47" s="26"/>
      <c r="Q47" s="26"/>
      <c r="R47" s="26"/>
      <c r="S47" s="26"/>
      <c r="T47" s="26"/>
      <c r="U47" s="26"/>
    </row>
    <row r="48" spans="1:21" s="36" customFormat="1" ht="18.75">
      <c r="A48" s="27" t="s">
        <v>305</v>
      </c>
      <c r="B48" s="28" t="s">
        <v>178</v>
      </c>
      <c r="C48" s="699">
        <f t="shared" si="4"/>
        <v>31042</v>
      </c>
      <c r="D48" s="26">
        <f t="shared" si="5"/>
        <v>31042</v>
      </c>
      <c r="E48" s="26"/>
      <c r="F48" s="26"/>
      <c r="G48" s="26">
        <v>31042</v>
      </c>
      <c r="H48" s="26"/>
      <c r="I48" s="26"/>
      <c r="J48" s="26"/>
      <c r="K48" s="26"/>
      <c r="L48" s="26"/>
      <c r="M48" s="26"/>
      <c r="N48" s="26"/>
      <c r="O48" s="26"/>
      <c r="P48" s="26"/>
      <c r="Q48" s="26"/>
      <c r="R48" s="26"/>
      <c r="S48" s="26"/>
      <c r="T48" s="26"/>
      <c r="U48" s="26"/>
    </row>
    <row r="49" spans="1:21" s="35" customFormat="1" ht="37.5">
      <c r="A49" s="38" t="s">
        <v>32</v>
      </c>
      <c r="B49" s="39" t="s">
        <v>195</v>
      </c>
      <c r="C49" s="24">
        <f>SUM(C50:C66)+C67+C68+C69+C85+C84+C83</f>
        <v>407435</v>
      </c>
      <c r="D49" s="24">
        <f t="shared" ref="D49:U49" si="7">SUM(D50:D66)+D67+D68+D69+D85+D84+D83</f>
        <v>348164</v>
      </c>
      <c r="E49" s="24">
        <f t="shared" si="7"/>
        <v>0</v>
      </c>
      <c r="F49" s="24">
        <f t="shared" si="7"/>
        <v>555</v>
      </c>
      <c r="G49" s="24">
        <f t="shared" si="7"/>
        <v>0</v>
      </c>
      <c r="H49" s="24">
        <f t="shared" si="7"/>
        <v>0</v>
      </c>
      <c r="I49" s="24">
        <f t="shared" si="7"/>
        <v>287296</v>
      </c>
      <c r="J49" s="24">
        <f t="shared" si="7"/>
        <v>0</v>
      </c>
      <c r="K49" s="24">
        <f t="shared" si="7"/>
        <v>0</v>
      </c>
      <c r="L49" s="24">
        <f t="shared" si="7"/>
        <v>0</v>
      </c>
      <c r="M49" s="24">
        <f t="shared" si="7"/>
        <v>0</v>
      </c>
      <c r="N49" s="24">
        <f t="shared" si="7"/>
        <v>0</v>
      </c>
      <c r="O49" s="24">
        <f t="shared" si="7"/>
        <v>0</v>
      </c>
      <c r="P49" s="24">
        <f t="shared" si="7"/>
        <v>0</v>
      </c>
      <c r="Q49" s="24">
        <f t="shared" si="7"/>
        <v>14527</v>
      </c>
      <c r="R49" s="24">
        <f t="shared" si="7"/>
        <v>45344</v>
      </c>
      <c r="S49" s="24">
        <f t="shared" si="7"/>
        <v>442</v>
      </c>
      <c r="T49" s="24">
        <f t="shared" si="7"/>
        <v>58447</v>
      </c>
      <c r="U49" s="24">
        <f t="shared" si="7"/>
        <v>824</v>
      </c>
    </row>
    <row r="50" spans="1:21" s="36" customFormat="1" ht="18.75">
      <c r="A50" s="27" t="s">
        <v>288</v>
      </c>
      <c r="B50" s="28" t="s">
        <v>197</v>
      </c>
      <c r="C50" s="699">
        <f t="shared" si="4"/>
        <v>703</v>
      </c>
      <c r="D50" s="26">
        <f t="shared" si="5"/>
        <v>703</v>
      </c>
      <c r="E50" s="26"/>
      <c r="F50" s="26"/>
      <c r="G50" s="26"/>
      <c r="H50" s="26"/>
      <c r="I50" s="26"/>
      <c r="J50" s="26"/>
      <c r="K50" s="26"/>
      <c r="L50" s="26"/>
      <c r="M50" s="26"/>
      <c r="N50" s="26"/>
      <c r="O50" s="26"/>
      <c r="P50" s="26"/>
      <c r="Q50" s="26">
        <f>687+16</f>
        <v>703</v>
      </c>
      <c r="R50" s="26"/>
      <c r="S50" s="26"/>
      <c r="T50" s="26"/>
      <c r="U50" s="26"/>
    </row>
    <row r="51" spans="1:21" s="36" customFormat="1" ht="37.5">
      <c r="A51" s="27" t="s">
        <v>289</v>
      </c>
      <c r="B51" s="28" t="s">
        <v>199</v>
      </c>
      <c r="C51" s="699">
        <f t="shared" si="4"/>
        <v>589</v>
      </c>
      <c r="D51" s="26">
        <f t="shared" si="5"/>
        <v>589</v>
      </c>
      <c r="E51" s="26"/>
      <c r="F51" s="26"/>
      <c r="G51" s="26"/>
      <c r="H51" s="26"/>
      <c r="I51" s="26"/>
      <c r="J51" s="26"/>
      <c r="K51" s="26"/>
      <c r="L51" s="26"/>
      <c r="M51" s="26"/>
      <c r="N51" s="26"/>
      <c r="O51" s="26"/>
      <c r="P51" s="26"/>
      <c r="Q51" s="26">
        <f>573+16</f>
        <v>589</v>
      </c>
      <c r="R51" s="26"/>
      <c r="S51" s="26"/>
      <c r="T51" s="26"/>
      <c r="U51" s="26"/>
    </row>
    <row r="52" spans="1:21" s="36" customFormat="1" ht="37.5">
      <c r="A52" s="27" t="s">
        <v>290</v>
      </c>
      <c r="B52" s="28" t="s">
        <v>201</v>
      </c>
      <c r="C52" s="699">
        <f t="shared" si="4"/>
        <v>439</v>
      </c>
      <c r="D52" s="26">
        <f t="shared" si="5"/>
        <v>439</v>
      </c>
      <c r="E52" s="26"/>
      <c r="F52" s="26"/>
      <c r="G52" s="26"/>
      <c r="H52" s="26"/>
      <c r="I52" s="26"/>
      <c r="J52" s="26"/>
      <c r="K52" s="26"/>
      <c r="L52" s="26"/>
      <c r="M52" s="26"/>
      <c r="N52" s="26"/>
      <c r="O52" s="26"/>
      <c r="P52" s="26"/>
      <c r="Q52" s="26">
        <f>423+16</f>
        <v>439</v>
      </c>
      <c r="R52" s="26"/>
      <c r="S52" s="26"/>
      <c r="T52" s="26"/>
      <c r="U52" s="26"/>
    </row>
    <row r="53" spans="1:21" s="36" customFormat="1" ht="18.75">
      <c r="A53" s="27" t="s">
        <v>291</v>
      </c>
      <c r="B53" s="28" t="s">
        <v>203</v>
      </c>
      <c r="C53" s="699">
        <f t="shared" si="4"/>
        <v>541</v>
      </c>
      <c r="D53" s="26">
        <f t="shared" si="5"/>
        <v>541</v>
      </c>
      <c r="E53" s="26"/>
      <c r="F53" s="26"/>
      <c r="G53" s="26"/>
      <c r="H53" s="26"/>
      <c r="I53" s="26"/>
      <c r="J53" s="26"/>
      <c r="K53" s="26"/>
      <c r="L53" s="26"/>
      <c r="M53" s="26"/>
      <c r="N53" s="26"/>
      <c r="O53" s="26"/>
      <c r="P53" s="26"/>
      <c r="Q53" s="26">
        <f>525+16</f>
        <v>541</v>
      </c>
      <c r="R53" s="26"/>
      <c r="S53" s="26"/>
      <c r="T53" s="26"/>
      <c r="U53" s="26"/>
    </row>
    <row r="54" spans="1:21" s="36" customFormat="1" ht="18.75">
      <c r="A54" s="27" t="s">
        <v>292</v>
      </c>
      <c r="B54" s="28" t="s">
        <v>205</v>
      </c>
      <c r="C54" s="699">
        <f t="shared" si="4"/>
        <v>81</v>
      </c>
      <c r="D54" s="26">
        <f t="shared" si="5"/>
        <v>81</v>
      </c>
      <c r="E54" s="26"/>
      <c r="F54" s="26"/>
      <c r="G54" s="26"/>
      <c r="H54" s="26"/>
      <c r="I54" s="26"/>
      <c r="J54" s="26"/>
      <c r="K54" s="26"/>
      <c r="L54" s="26"/>
      <c r="M54" s="26"/>
      <c r="N54" s="26"/>
      <c r="O54" s="26"/>
      <c r="P54" s="26"/>
      <c r="Q54" s="26">
        <v>81</v>
      </c>
      <c r="R54" s="26"/>
      <c r="S54" s="26"/>
      <c r="T54" s="26"/>
      <c r="U54" s="26"/>
    </row>
    <row r="55" spans="1:21" s="36" customFormat="1" ht="18.75">
      <c r="A55" s="27" t="s">
        <v>293</v>
      </c>
      <c r="B55" s="28" t="s">
        <v>207</v>
      </c>
      <c r="C55" s="699">
        <f t="shared" si="4"/>
        <v>1328</v>
      </c>
      <c r="D55" s="26">
        <f t="shared" si="5"/>
        <v>1328</v>
      </c>
      <c r="E55" s="26"/>
      <c r="F55" s="26"/>
      <c r="G55" s="26"/>
      <c r="H55" s="26"/>
      <c r="I55" s="26"/>
      <c r="J55" s="26"/>
      <c r="K55" s="26"/>
      <c r="L55" s="26"/>
      <c r="M55" s="26"/>
      <c r="N55" s="26"/>
      <c r="O55" s="26"/>
      <c r="P55" s="26"/>
      <c r="Q55" s="26">
        <f>1239+89</f>
        <v>1328</v>
      </c>
      <c r="R55" s="26"/>
      <c r="S55" s="26"/>
      <c r="T55" s="26"/>
      <c r="U55" s="26"/>
    </row>
    <row r="56" spans="1:21" s="36" customFormat="1" ht="37.5">
      <c r="A56" s="27" t="s">
        <v>294</v>
      </c>
      <c r="B56" s="28" t="s">
        <v>209</v>
      </c>
      <c r="C56" s="699">
        <f t="shared" si="4"/>
        <v>2945</v>
      </c>
      <c r="D56" s="26">
        <f t="shared" si="5"/>
        <v>2945</v>
      </c>
      <c r="E56" s="26"/>
      <c r="F56" s="26">
        <v>555</v>
      </c>
      <c r="G56" s="26"/>
      <c r="H56" s="26"/>
      <c r="I56" s="26"/>
      <c r="J56" s="26"/>
      <c r="K56" s="26"/>
      <c r="L56" s="26"/>
      <c r="M56" s="26"/>
      <c r="N56" s="26"/>
      <c r="O56" s="26"/>
      <c r="P56" s="26"/>
      <c r="Q56" s="26">
        <f>2323+67</f>
        <v>2390</v>
      </c>
      <c r="R56" s="26"/>
      <c r="S56" s="26"/>
      <c r="T56" s="26"/>
      <c r="U56" s="26"/>
    </row>
    <row r="57" spans="1:21" s="36" customFormat="1" ht="37.5">
      <c r="A57" s="27" t="s">
        <v>295</v>
      </c>
      <c r="B57" s="28" t="s">
        <v>211</v>
      </c>
      <c r="C57" s="699">
        <f t="shared" si="4"/>
        <v>577</v>
      </c>
      <c r="D57" s="26">
        <f t="shared" si="5"/>
        <v>577</v>
      </c>
      <c r="E57" s="26"/>
      <c r="F57" s="26"/>
      <c r="G57" s="26"/>
      <c r="H57" s="26"/>
      <c r="I57" s="26"/>
      <c r="J57" s="26"/>
      <c r="K57" s="26"/>
      <c r="L57" s="26"/>
      <c r="M57" s="26"/>
      <c r="N57" s="26"/>
      <c r="O57" s="26"/>
      <c r="P57" s="26"/>
      <c r="Q57" s="26">
        <f>561+16</f>
        <v>577</v>
      </c>
      <c r="R57" s="26"/>
      <c r="S57" s="26"/>
      <c r="T57" s="26"/>
      <c r="U57" s="26"/>
    </row>
    <row r="58" spans="1:21" s="36" customFormat="1" ht="18.75">
      <c r="A58" s="27" t="s">
        <v>296</v>
      </c>
      <c r="B58" s="28" t="s">
        <v>213</v>
      </c>
      <c r="C58" s="699">
        <f t="shared" si="4"/>
        <v>1564</v>
      </c>
      <c r="D58" s="26">
        <f t="shared" si="5"/>
        <v>1564</v>
      </c>
      <c r="E58" s="26"/>
      <c r="F58" s="26"/>
      <c r="G58" s="26"/>
      <c r="H58" s="26"/>
      <c r="I58" s="26"/>
      <c r="J58" s="26"/>
      <c r="K58" s="26"/>
      <c r="L58" s="26"/>
      <c r="M58" s="26"/>
      <c r="N58" s="26"/>
      <c r="O58" s="26"/>
      <c r="P58" s="26"/>
      <c r="Q58" s="26">
        <f>1485+79</f>
        <v>1564</v>
      </c>
      <c r="R58" s="26"/>
      <c r="S58" s="26"/>
      <c r="T58" s="26"/>
      <c r="U58" s="26"/>
    </row>
    <row r="59" spans="1:21" s="36" customFormat="1" ht="33.75" customHeight="1">
      <c r="A59" s="27">
        <v>10</v>
      </c>
      <c r="B59" s="28" t="s">
        <v>215</v>
      </c>
      <c r="C59" s="699">
        <f t="shared" si="4"/>
        <v>22</v>
      </c>
      <c r="D59" s="26">
        <f t="shared" si="5"/>
        <v>22</v>
      </c>
      <c r="E59" s="26"/>
      <c r="F59" s="26"/>
      <c r="G59" s="26"/>
      <c r="H59" s="26"/>
      <c r="I59" s="26"/>
      <c r="J59" s="26"/>
      <c r="K59" s="26"/>
      <c r="L59" s="26"/>
      <c r="M59" s="26"/>
      <c r="N59" s="26"/>
      <c r="O59" s="26"/>
      <c r="P59" s="26"/>
      <c r="Q59" s="26">
        <v>22</v>
      </c>
      <c r="R59" s="26"/>
      <c r="S59" s="26"/>
      <c r="T59" s="26"/>
      <c r="U59" s="26"/>
    </row>
    <row r="60" spans="1:21" s="36" customFormat="1" ht="37.5">
      <c r="A60" s="27">
        <v>11</v>
      </c>
      <c r="B60" s="28" t="s">
        <v>217</v>
      </c>
      <c r="C60" s="699">
        <f t="shared" si="4"/>
        <v>18</v>
      </c>
      <c r="D60" s="26">
        <f t="shared" si="5"/>
        <v>18</v>
      </c>
      <c r="E60" s="26"/>
      <c r="F60" s="26"/>
      <c r="G60" s="26"/>
      <c r="H60" s="26"/>
      <c r="I60" s="26"/>
      <c r="J60" s="26"/>
      <c r="K60" s="26"/>
      <c r="L60" s="26"/>
      <c r="M60" s="26"/>
      <c r="N60" s="26"/>
      <c r="O60" s="26"/>
      <c r="P60" s="26"/>
      <c r="Q60" s="26">
        <v>18</v>
      </c>
      <c r="R60" s="26"/>
      <c r="S60" s="26"/>
      <c r="T60" s="26"/>
      <c r="U60" s="26"/>
    </row>
    <row r="61" spans="1:21" s="36" customFormat="1" ht="37.5">
      <c r="A61" s="27">
        <v>12</v>
      </c>
      <c r="B61" s="28" t="s">
        <v>219</v>
      </c>
      <c r="C61" s="699">
        <f t="shared" si="4"/>
        <v>131</v>
      </c>
      <c r="D61" s="26">
        <f t="shared" si="5"/>
        <v>131</v>
      </c>
      <c r="E61" s="26"/>
      <c r="F61" s="26"/>
      <c r="G61" s="26"/>
      <c r="H61" s="26"/>
      <c r="I61" s="26"/>
      <c r="J61" s="26"/>
      <c r="K61" s="26"/>
      <c r="L61" s="26"/>
      <c r="M61" s="26"/>
      <c r="N61" s="26"/>
      <c r="O61" s="26"/>
      <c r="P61" s="26"/>
      <c r="Q61" s="26">
        <v>131</v>
      </c>
      <c r="R61" s="26"/>
      <c r="S61" s="26"/>
      <c r="T61" s="26"/>
      <c r="U61" s="26"/>
    </row>
    <row r="62" spans="1:21" s="36" customFormat="1" ht="18.75">
      <c r="A62" s="27">
        <v>13</v>
      </c>
      <c r="B62" s="28" t="s">
        <v>221</v>
      </c>
      <c r="C62" s="699">
        <f t="shared" si="4"/>
        <v>333</v>
      </c>
      <c r="D62" s="26">
        <f t="shared" si="5"/>
        <v>333</v>
      </c>
      <c r="E62" s="26"/>
      <c r="F62" s="26"/>
      <c r="G62" s="26"/>
      <c r="H62" s="26"/>
      <c r="I62" s="26"/>
      <c r="J62" s="26"/>
      <c r="K62" s="26"/>
      <c r="L62" s="26"/>
      <c r="M62" s="26"/>
      <c r="N62" s="26"/>
      <c r="O62" s="26"/>
      <c r="P62" s="26"/>
      <c r="Q62" s="26">
        <f>317+16</f>
        <v>333</v>
      </c>
      <c r="R62" s="26"/>
      <c r="S62" s="26"/>
      <c r="T62" s="26"/>
      <c r="U62" s="26"/>
    </row>
    <row r="63" spans="1:21" s="36" customFormat="1" ht="18.75">
      <c r="A63" s="27">
        <v>14</v>
      </c>
      <c r="B63" s="28" t="s">
        <v>223</v>
      </c>
      <c r="C63" s="699">
        <f t="shared" si="4"/>
        <v>2636</v>
      </c>
      <c r="D63" s="26">
        <f t="shared" si="5"/>
        <v>2611</v>
      </c>
      <c r="E63" s="26"/>
      <c r="F63" s="26"/>
      <c r="G63" s="26"/>
      <c r="H63" s="26"/>
      <c r="I63" s="26"/>
      <c r="J63" s="26"/>
      <c r="K63" s="26"/>
      <c r="L63" s="26"/>
      <c r="M63" s="26"/>
      <c r="N63" s="26"/>
      <c r="O63" s="26"/>
      <c r="P63" s="26"/>
      <c r="Q63" s="26">
        <v>2611</v>
      </c>
      <c r="R63" s="26"/>
      <c r="S63" s="26"/>
      <c r="T63" s="26">
        <v>25</v>
      </c>
      <c r="U63" s="26"/>
    </row>
    <row r="64" spans="1:21" s="36" customFormat="1" ht="18.75">
      <c r="A64" s="27">
        <v>15</v>
      </c>
      <c r="B64" s="28" t="s">
        <v>225</v>
      </c>
      <c r="C64" s="699">
        <f t="shared" si="4"/>
        <v>4024</v>
      </c>
      <c r="D64" s="26">
        <f t="shared" si="5"/>
        <v>3200</v>
      </c>
      <c r="E64" s="26"/>
      <c r="F64" s="26"/>
      <c r="G64" s="26"/>
      <c r="H64" s="26"/>
      <c r="I64" s="26"/>
      <c r="J64" s="26"/>
      <c r="K64" s="26"/>
      <c r="L64" s="26"/>
      <c r="M64" s="26"/>
      <c r="N64" s="26">
        <v>0</v>
      </c>
      <c r="O64" s="26"/>
      <c r="P64" s="26"/>
      <c r="Q64" s="26">
        <f>3014+186</f>
        <v>3200</v>
      </c>
      <c r="R64" s="26"/>
      <c r="S64" s="26"/>
      <c r="T64" s="26"/>
      <c r="U64" s="26">
        <v>824</v>
      </c>
    </row>
    <row r="65" spans="1:21" s="36" customFormat="1" ht="18.75">
      <c r="A65" s="27">
        <v>16</v>
      </c>
      <c r="B65" s="28" t="s">
        <v>227</v>
      </c>
      <c r="C65" s="699">
        <f t="shared" si="4"/>
        <v>76</v>
      </c>
      <c r="D65" s="26">
        <f t="shared" si="5"/>
        <v>76</v>
      </c>
      <c r="E65" s="26"/>
      <c r="F65" s="26"/>
      <c r="G65" s="26"/>
      <c r="H65" s="26"/>
      <c r="I65" s="26"/>
      <c r="J65" s="26"/>
      <c r="K65" s="26"/>
      <c r="L65" s="26"/>
      <c r="M65" s="26"/>
      <c r="N65" s="26"/>
      <c r="O65" s="26"/>
      <c r="P65" s="26"/>
      <c r="Q65" s="26"/>
      <c r="R65" s="26"/>
      <c r="S65" s="26">
        <v>76</v>
      </c>
      <c r="T65" s="26"/>
      <c r="U65" s="26"/>
    </row>
    <row r="66" spans="1:21" s="36" customFormat="1" ht="18.75">
      <c r="A66" s="27">
        <v>18</v>
      </c>
      <c r="B66" s="28" t="s">
        <v>229</v>
      </c>
      <c r="C66" s="699">
        <f t="shared" si="4"/>
        <v>31</v>
      </c>
      <c r="D66" s="26">
        <f t="shared" si="5"/>
        <v>31</v>
      </c>
      <c r="E66" s="26"/>
      <c r="F66" s="26"/>
      <c r="G66" s="26"/>
      <c r="H66" s="26"/>
      <c r="I66" s="26"/>
      <c r="J66" s="26"/>
      <c r="K66" s="26"/>
      <c r="L66" s="26"/>
      <c r="M66" s="26"/>
      <c r="N66" s="26"/>
      <c r="O66" s="26"/>
      <c r="P66" s="26"/>
      <c r="Q66" s="26"/>
      <c r="R66" s="26"/>
      <c r="S66" s="26">
        <v>31</v>
      </c>
      <c r="T66" s="26"/>
      <c r="U66" s="26"/>
    </row>
    <row r="67" spans="1:21" s="36" customFormat="1" ht="18.75">
      <c r="A67" s="27">
        <v>20</v>
      </c>
      <c r="B67" s="28" t="s">
        <v>231</v>
      </c>
      <c r="C67" s="699">
        <f t="shared" si="4"/>
        <v>135</v>
      </c>
      <c r="D67" s="26">
        <f>SUM(E67:N67)+Q67+R67+S67</f>
        <v>135</v>
      </c>
      <c r="E67" s="26"/>
      <c r="F67" s="26"/>
      <c r="G67" s="26"/>
      <c r="H67" s="26"/>
      <c r="I67" s="26"/>
      <c r="J67" s="26"/>
      <c r="K67" s="26"/>
      <c r="L67" s="26"/>
      <c r="M67" s="26"/>
      <c r="N67" s="26"/>
      <c r="O67" s="26"/>
      <c r="P67" s="26"/>
      <c r="Q67" s="26"/>
      <c r="R67" s="26"/>
      <c r="S67" s="26">
        <v>135</v>
      </c>
      <c r="T67" s="26"/>
      <c r="U67" s="26"/>
    </row>
    <row r="68" spans="1:21" s="36" customFormat="1" ht="18.75">
      <c r="A68" s="27">
        <v>21</v>
      </c>
      <c r="B68" s="28" t="s">
        <v>233</v>
      </c>
      <c r="C68" s="699">
        <f t="shared" si="4"/>
        <v>180</v>
      </c>
      <c r="D68" s="26">
        <f>SUM(E68:N68)+Q68+R68+S68</f>
        <v>180</v>
      </c>
      <c r="E68" s="26"/>
      <c r="F68" s="26"/>
      <c r="G68" s="26"/>
      <c r="H68" s="26"/>
      <c r="I68" s="26"/>
      <c r="J68" s="26"/>
      <c r="K68" s="26"/>
      <c r="L68" s="26"/>
      <c r="M68" s="26"/>
      <c r="N68" s="26"/>
      <c r="O68" s="26"/>
      <c r="P68" s="26"/>
      <c r="Q68" s="26"/>
      <c r="R68" s="26"/>
      <c r="S68" s="26">
        <v>180</v>
      </c>
      <c r="T68" s="26"/>
      <c r="U68" s="26"/>
    </row>
    <row r="69" spans="1:21" s="36" customFormat="1" ht="56.25">
      <c r="A69" s="27">
        <v>22</v>
      </c>
      <c r="B69" s="28" t="s">
        <v>235</v>
      </c>
      <c r="C69" s="699">
        <f>SUM(C70:C82)</f>
        <v>25537</v>
      </c>
      <c r="D69" s="699">
        <f t="shared" ref="D69:U69" si="8">SUM(D70:D82)</f>
        <v>25537</v>
      </c>
      <c r="E69" s="699">
        <f t="shared" si="8"/>
        <v>0</v>
      </c>
      <c r="F69" s="699">
        <f t="shared" si="8"/>
        <v>0</v>
      </c>
      <c r="G69" s="699">
        <f t="shared" si="8"/>
        <v>0</v>
      </c>
      <c r="H69" s="699">
        <f t="shared" si="8"/>
        <v>0</v>
      </c>
      <c r="I69" s="699">
        <f t="shared" si="8"/>
        <v>0</v>
      </c>
      <c r="J69" s="699">
        <f t="shared" si="8"/>
        <v>0</v>
      </c>
      <c r="K69" s="699">
        <f t="shared" si="8"/>
        <v>0</v>
      </c>
      <c r="L69" s="699">
        <f t="shared" si="8"/>
        <v>0</v>
      </c>
      <c r="M69" s="699">
        <f t="shared" si="8"/>
        <v>0</v>
      </c>
      <c r="N69" s="699">
        <f t="shared" si="8"/>
        <v>0</v>
      </c>
      <c r="O69" s="699">
        <f t="shared" si="8"/>
        <v>0</v>
      </c>
      <c r="P69" s="699">
        <f t="shared" si="8"/>
        <v>0</v>
      </c>
      <c r="Q69" s="699">
        <f t="shared" si="8"/>
        <v>0</v>
      </c>
      <c r="R69" s="699">
        <f t="shared" si="8"/>
        <v>25537</v>
      </c>
      <c r="S69" s="699">
        <f t="shared" si="8"/>
        <v>0</v>
      </c>
      <c r="T69" s="699">
        <f t="shared" si="8"/>
        <v>0</v>
      </c>
      <c r="U69" s="699">
        <f t="shared" si="8"/>
        <v>0</v>
      </c>
    </row>
    <row r="70" spans="1:21" s="36" customFormat="1" ht="37.5">
      <c r="A70" s="27" t="s">
        <v>19</v>
      </c>
      <c r="B70" s="28" t="s">
        <v>236</v>
      </c>
      <c r="C70" s="699">
        <f t="shared" si="4"/>
        <v>207</v>
      </c>
      <c r="D70" s="26">
        <f t="shared" si="5"/>
        <v>207</v>
      </c>
      <c r="E70" s="26"/>
      <c r="F70" s="26"/>
      <c r="G70" s="26"/>
      <c r="H70" s="26"/>
      <c r="I70" s="26"/>
      <c r="J70" s="26"/>
      <c r="K70" s="26"/>
      <c r="L70" s="26"/>
      <c r="M70" s="26"/>
      <c r="N70" s="26"/>
      <c r="O70" s="26"/>
      <c r="P70" s="26"/>
      <c r="Q70" s="26"/>
      <c r="R70" s="26">
        <v>207</v>
      </c>
      <c r="S70" s="26"/>
      <c r="T70" s="26"/>
      <c r="U70" s="26"/>
    </row>
    <row r="71" spans="1:21" s="36" customFormat="1" ht="37.5">
      <c r="A71" s="27" t="s">
        <v>19</v>
      </c>
      <c r="B71" s="28" t="s">
        <v>237</v>
      </c>
      <c r="C71" s="699">
        <f t="shared" si="4"/>
        <v>197</v>
      </c>
      <c r="D71" s="26">
        <f t="shared" si="5"/>
        <v>197</v>
      </c>
      <c r="E71" s="26"/>
      <c r="F71" s="26"/>
      <c r="G71" s="26"/>
      <c r="H71" s="26"/>
      <c r="I71" s="26"/>
      <c r="J71" s="26"/>
      <c r="K71" s="26"/>
      <c r="L71" s="26"/>
      <c r="M71" s="26"/>
      <c r="N71" s="26"/>
      <c r="O71" s="26"/>
      <c r="P71" s="26"/>
      <c r="Q71" s="26"/>
      <c r="R71" s="26">
        <v>197</v>
      </c>
      <c r="S71" s="26"/>
      <c r="T71" s="26"/>
      <c r="U71" s="26"/>
    </row>
    <row r="72" spans="1:21" s="36" customFormat="1" ht="37.5">
      <c r="A72" s="27" t="s">
        <v>19</v>
      </c>
      <c r="B72" s="28" t="s">
        <v>238</v>
      </c>
      <c r="C72" s="699">
        <f t="shared" si="4"/>
        <v>203</v>
      </c>
      <c r="D72" s="26">
        <f t="shared" si="5"/>
        <v>203</v>
      </c>
      <c r="E72" s="26"/>
      <c r="F72" s="26"/>
      <c r="G72" s="26"/>
      <c r="H72" s="26"/>
      <c r="I72" s="26"/>
      <c r="J72" s="26"/>
      <c r="K72" s="26"/>
      <c r="L72" s="26"/>
      <c r="M72" s="26"/>
      <c r="N72" s="26"/>
      <c r="O72" s="26"/>
      <c r="P72" s="26"/>
      <c r="Q72" s="26"/>
      <c r="R72" s="26">
        <v>203</v>
      </c>
      <c r="S72" s="26"/>
      <c r="T72" s="26"/>
      <c r="U72" s="26"/>
    </row>
    <row r="73" spans="1:21" s="36" customFormat="1" ht="37.5">
      <c r="A73" s="27" t="s">
        <v>19</v>
      </c>
      <c r="B73" s="28" t="s">
        <v>239</v>
      </c>
      <c r="C73" s="699">
        <f t="shared" si="4"/>
        <v>169</v>
      </c>
      <c r="D73" s="26">
        <f t="shared" si="5"/>
        <v>169</v>
      </c>
      <c r="E73" s="26"/>
      <c r="F73" s="26"/>
      <c r="G73" s="26"/>
      <c r="H73" s="26"/>
      <c r="I73" s="26"/>
      <c r="J73" s="26"/>
      <c r="K73" s="26"/>
      <c r="L73" s="26"/>
      <c r="M73" s="26"/>
      <c r="N73" s="26"/>
      <c r="O73" s="26"/>
      <c r="P73" s="26"/>
      <c r="Q73" s="26"/>
      <c r="R73" s="26">
        <v>169</v>
      </c>
      <c r="S73" s="26"/>
      <c r="T73" s="26"/>
      <c r="U73" s="26"/>
    </row>
    <row r="74" spans="1:21" s="36" customFormat="1" ht="37.5">
      <c r="A74" s="27" t="s">
        <v>19</v>
      </c>
      <c r="B74" s="28" t="s">
        <v>240</v>
      </c>
      <c r="C74" s="699">
        <f t="shared" si="4"/>
        <v>110</v>
      </c>
      <c r="D74" s="26">
        <f t="shared" si="5"/>
        <v>110</v>
      </c>
      <c r="E74" s="26"/>
      <c r="F74" s="26"/>
      <c r="G74" s="26"/>
      <c r="H74" s="26"/>
      <c r="I74" s="26"/>
      <c r="J74" s="26"/>
      <c r="K74" s="26"/>
      <c r="L74" s="26"/>
      <c r="M74" s="26"/>
      <c r="N74" s="26"/>
      <c r="O74" s="26"/>
      <c r="P74" s="26"/>
      <c r="Q74" s="26"/>
      <c r="R74" s="26">
        <v>110</v>
      </c>
      <c r="S74" s="26"/>
      <c r="T74" s="26"/>
      <c r="U74" s="26"/>
    </row>
    <row r="75" spans="1:21" s="36" customFormat="1" ht="37.5">
      <c r="A75" s="27" t="s">
        <v>19</v>
      </c>
      <c r="B75" s="28" t="s">
        <v>241</v>
      </c>
      <c r="C75" s="699">
        <f t="shared" si="4"/>
        <v>1489</v>
      </c>
      <c r="D75" s="26">
        <f t="shared" si="5"/>
        <v>1489</v>
      </c>
      <c r="E75" s="26"/>
      <c r="F75" s="26"/>
      <c r="G75" s="26"/>
      <c r="H75" s="26"/>
      <c r="I75" s="26"/>
      <c r="J75" s="26"/>
      <c r="K75" s="26"/>
      <c r="L75" s="26"/>
      <c r="M75" s="26"/>
      <c r="N75" s="26"/>
      <c r="O75" s="26"/>
      <c r="P75" s="26"/>
      <c r="Q75" s="26"/>
      <c r="R75" s="26">
        <v>1489</v>
      </c>
      <c r="S75" s="26"/>
      <c r="T75" s="26"/>
      <c r="U75" s="26"/>
    </row>
    <row r="76" spans="1:21" s="36" customFormat="1" ht="37.5">
      <c r="A76" s="27" t="s">
        <v>19</v>
      </c>
      <c r="B76" s="28" t="s">
        <v>242</v>
      </c>
      <c r="C76" s="699">
        <f t="shared" si="4"/>
        <v>442</v>
      </c>
      <c r="D76" s="26">
        <f t="shared" si="5"/>
        <v>442</v>
      </c>
      <c r="E76" s="26"/>
      <c r="F76" s="26"/>
      <c r="G76" s="26"/>
      <c r="H76" s="26"/>
      <c r="I76" s="26"/>
      <c r="J76" s="26"/>
      <c r="K76" s="26"/>
      <c r="L76" s="26"/>
      <c r="M76" s="26"/>
      <c r="N76" s="26"/>
      <c r="O76" s="26"/>
      <c r="P76" s="26"/>
      <c r="Q76" s="26"/>
      <c r="R76" s="26">
        <v>442</v>
      </c>
      <c r="S76" s="26"/>
      <c r="T76" s="26"/>
      <c r="U76" s="26"/>
    </row>
    <row r="77" spans="1:21" s="36" customFormat="1" ht="37.5">
      <c r="A77" s="27" t="s">
        <v>19</v>
      </c>
      <c r="B77" s="28" t="s">
        <v>243</v>
      </c>
      <c r="C77" s="699">
        <f t="shared" ref="C77:C85" si="9">D77+T77+U77</f>
        <v>455</v>
      </c>
      <c r="D77" s="26">
        <f t="shared" si="5"/>
        <v>455</v>
      </c>
      <c r="E77" s="26"/>
      <c r="F77" s="26"/>
      <c r="G77" s="26"/>
      <c r="H77" s="26"/>
      <c r="I77" s="26"/>
      <c r="J77" s="26"/>
      <c r="K77" s="26"/>
      <c r="L77" s="26"/>
      <c r="M77" s="26"/>
      <c r="N77" s="26"/>
      <c r="O77" s="26"/>
      <c r="P77" s="26"/>
      <c r="Q77" s="26"/>
      <c r="R77" s="26">
        <v>455</v>
      </c>
      <c r="S77" s="26"/>
      <c r="T77" s="26"/>
      <c r="U77" s="26"/>
    </row>
    <row r="78" spans="1:21" s="36" customFormat="1" ht="37.5">
      <c r="A78" s="27" t="s">
        <v>19</v>
      </c>
      <c r="B78" s="28" t="s">
        <v>244</v>
      </c>
      <c r="C78" s="699">
        <f t="shared" si="9"/>
        <v>3250</v>
      </c>
      <c r="D78" s="26">
        <f t="shared" ref="D78:D87" si="10">SUM(E78:N78)+Q78+R78+S78</f>
        <v>3250</v>
      </c>
      <c r="E78" s="26"/>
      <c r="F78" s="26"/>
      <c r="G78" s="26"/>
      <c r="H78" s="26"/>
      <c r="I78" s="26"/>
      <c r="J78" s="26"/>
      <c r="K78" s="26"/>
      <c r="L78" s="26"/>
      <c r="M78" s="26"/>
      <c r="N78" s="26"/>
      <c r="O78" s="26"/>
      <c r="P78" s="26"/>
      <c r="Q78" s="26"/>
      <c r="R78" s="26">
        <v>3250</v>
      </c>
      <c r="S78" s="26"/>
      <c r="T78" s="26"/>
      <c r="U78" s="26"/>
    </row>
    <row r="79" spans="1:21" s="36" customFormat="1" ht="37.5">
      <c r="A79" s="27" t="s">
        <v>19</v>
      </c>
      <c r="B79" s="28" t="s">
        <v>245</v>
      </c>
      <c r="C79" s="699">
        <f t="shared" si="9"/>
        <v>5575</v>
      </c>
      <c r="D79" s="26">
        <f t="shared" si="10"/>
        <v>5575</v>
      </c>
      <c r="E79" s="26"/>
      <c r="F79" s="26"/>
      <c r="G79" s="26"/>
      <c r="H79" s="26"/>
      <c r="I79" s="26"/>
      <c r="J79" s="26"/>
      <c r="K79" s="26"/>
      <c r="L79" s="26"/>
      <c r="M79" s="26"/>
      <c r="N79" s="26"/>
      <c r="O79" s="26"/>
      <c r="P79" s="26"/>
      <c r="Q79" s="26"/>
      <c r="R79" s="26">
        <v>5575</v>
      </c>
      <c r="S79" s="26"/>
      <c r="T79" s="26"/>
      <c r="U79" s="26"/>
    </row>
    <row r="80" spans="1:21" s="36" customFormat="1" ht="37.5">
      <c r="A80" s="27" t="s">
        <v>19</v>
      </c>
      <c r="B80" s="28" t="s">
        <v>246</v>
      </c>
      <c r="C80" s="699">
        <f t="shared" si="9"/>
        <v>7992</v>
      </c>
      <c r="D80" s="26">
        <f t="shared" si="10"/>
        <v>7992</v>
      </c>
      <c r="E80" s="26"/>
      <c r="F80" s="26"/>
      <c r="G80" s="26"/>
      <c r="H80" s="26"/>
      <c r="I80" s="26"/>
      <c r="J80" s="26"/>
      <c r="K80" s="26"/>
      <c r="L80" s="26"/>
      <c r="M80" s="26"/>
      <c r="N80" s="26"/>
      <c r="O80" s="26"/>
      <c r="P80" s="26"/>
      <c r="Q80" s="26"/>
      <c r="R80" s="26">
        <v>7992</v>
      </c>
      <c r="S80" s="26"/>
      <c r="T80" s="26"/>
      <c r="U80" s="26"/>
    </row>
    <row r="81" spans="1:21" s="36" customFormat="1" ht="37.5">
      <c r="A81" s="27" t="s">
        <v>19</v>
      </c>
      <c r="B81" s="28" t="s">
        <v>247</v>
      </c>
      <c r="C81" s="699">
        <f t="shared" si="9"/>
        <v>5160</v>
      </c>
      <c r="D81" s="26">
        <f t="shared" si="10"/>
        <v>5160</v>
      </c>
      <c r="E81" s="26"/>
      <c r="F81" s="26"/>
      <c r="G81" s="26"/>
      <c r="H81" s="26"/>
      <c r="I81" s="26"/>
      <c r="J81" s="26"/>
      <c r="K81" s="26"/>
      <c r="L81" s="26"/>
      <c r="M81" s="26"/>
      <c r="N81" s="26"/>
      <c r="O81" s="26"/>
      <c r="P81" s="26"/>
      <c r="Q81" s="26"/>
      <c r="R81" s="26">
        <v>5160</v>
      </c>
      <c r="S81" s="26"/>
      <c r="T81" s="26"/>
      <c r="U81" s="26"/>
    </row>
    <row r="82" spans="1:21" s="36" customFormat="1" ht="37.5">
      <c r="A82" s="27" t="s">
        <v>19</v>
      </c>
      <c r="B82" s="28" t="s">
        <v>248</v>
      </c>
      <c r="C82" s="699">
        <f t="shared" si="9"/>
        <v>288</v>
      </c>
      <c r="D82" s="26">
        <f t="shared" si="10"/>
        <v>288</v>
      </c>
      <c r="E82" s="26"/>
      <c r="F82" s="26"/>
      <c r="G82" s="26"/>
      <c r="H82" s="26"/>
      <c r="I82" s="26"/>
      <c r="J82" s="26"/>
      <c r="K82" s="26"/>
      <c r="L82" s="26"/>
      <c r="M82" s="26"/>
      <c r="N82" s="26"/>
      <c r="O82" s="26"/>
      <c r="P82" s="26"/>
      <c r="Q82" s="26"/>
      <c r="R82" s="26">
        <v>288</v>
      </c>
      <c r="S82" s="26"/>
      <c r="T82" s="26"/>
      <c r="U82" s="26"/>
    </row>
    <row r="83" spans="1:21" s="36" customFormat="1" ht="18.75">
      <c r="A83" s="27">
        <v>23</v>
      </c>
      <c r="B83" s="28" t="s">
        <v>252</v>
      </c>
      <c r="C83" s="699">
        <f t="shared" si="9"/>
        <v>20</v>
      </c>
      <c r="D83" s="26">
        <f t="shared" ref="D83" si="11">SUM(E83:N83)+Q83+R83+S83</f>
        <v>20</v>
      </c>
      <c r="E83" s="26"/>
      <c r="F83" s="26"/>
      <c r="G83" s="26"/>
      <c r="H83" s="26"/>
      <c r="I83" s="26"/>
      <c r="J83" s="26"/>
      <c r="K83" s="26"/>
      <c r="L83" s="26"/>
      <c r="M83" s="26"/>
      <c r="N83" s="26"/>
      <c r="O83" s="26"/>
      <c r="P83" s="26"/>
      <c r="Q83" s="26"/>
      <c r="R83" s="26"/>
      <c r="S83" s="26">
        <v>20</v>
      </c>
      <c r="T83" s="26"/>
      <c r="U83" s="26"/>
    </row>
    <row r="84" spans="1:21" s="36" customFormat="1" ht="18.75">
      <c r="A84" s="27">
        <v>24</v>
      </c>
      <c r="B84" s="28" t="s">
        <v>254</v>
      </c>
      <c r="C84" s="699">
        <f t="shared" si="9"/>
        <v>350525</v>
      </c>
      <c r="D84" s="26">
        <f>SUM(E84:N84)+Q84+R84+S84</f>
        <v>292103</v>
      </c>
      <c r="E84" s="26"/>
      <c r="F84" s="26"/>
      <c r="G84" s="26"/>
      <c r="H84" s="26"/>
      <c r="I84" s="26">
        <f>276074+11222</f>
        <v>287296</v>
      </c>
      <c r="J84" s="26"/>
      <c r="K84" s="26"/>
      <c r="L84" s="26"/>
      <c r="M84" s="26"/>
      <c r="N84" s="26"/>
      <c r="O84" s="26"/>
      <c r="P84" s="26"/>
      <c r="Q84" s="26"/>
      <c r="R84" s="26">
        <v>4807</v>
      </c>
      <c r="S84" s="26"/>
      <c r="T84" s="26">
        <f>345718-I84</f>
        <v>58422</v>
      </c>
      <c r="U84" s="26"/>
    </row>
    <row r="85" spans="1:21" s="36" customFormat="1" ht="18.75">
      <c r="A85" s="700">
        <v>25</v>
      </c>
      <c r="B85" s="701" t="s">
        <v>250</v>
      </c>
      <c r="C85" s="702">
        <f t="shared" si="9"/>
        <v>15000</v>
      </c>
      <c r="D85" s="703">
        <f>SUM(E85:N85)+Q85+R85+S85</f>
        <v>15000</v>
      </c>
      <c r="E85" s="703"/>
      <c r="F85" s="703"/>
      <c r="G85" s="703"/>
      <c r="H85" s="703"/>
      <c r="I85" s="703"/>
      <c r="J85" s="703"/>
      <c r="K85" s="703"/>
      <c r="L85" s="703"/>
      <c r="M85" s="703"/>
      <c r="N85" s="703"/>
      <c r="O85" s="703"/>
      <c r="P85" s="703"/>
      <c r="Q85" s="703"/>
      <c r="R85" s="703">
        <v>15000</v>
      </c>
      <c r="S85" s="703"/>
      <c r="T85" s="703"/>
      <c r="U85" s="703"/>
    </row>
    <row r="86" spans="1:21" s="35" customFormat="1" ht="37.5" hidden="1">
      <c r="A86" s="37" t="s">
        <v>67</v>
      </c>
      <c r="B86" s="693" t="s">
        <v>255</v>
      </c>
      <c r="C86" s="694">
        <f t="shared" ref="C86:C89" si="12">D86+T86</f>
        <v>0</v>
      </c>
      <c r="D86" s="694">
        <f t="shared" si="10"/>
        <v>0</v>
      </c>
      <c r="E86" s="694"/>
      <c r="F86" s="694"/>
      <c r="G86" s="694"/>
      <c r="H86" s="694"/>
      <c r="I86" s="694"/>
      <c r="J86" s="694"/>
      <c r="K86" s="694"/>
      <c r="L86" s="694"/>
      <c r="M86" s="694"/>
      <c r="N86" s="694"/>
      <c r="O86" s="694"/>
      <c r="P86" s="694"/>
      <c r="Q86" s="694"/>
      <c r="R86" s="694"/>
      <c r="S86" s="694"/>
      <c r="T86" s="694"/>
    </row>
    <row r="87" spans="1:21" s="35" customFormat="1" ht="24" hidden="1" customHeight="1">
      <c r="A87" s="38" t="s">
        <v>71</v>
      </c>
      <c r="B87" s="39" t="s">
        <v>256</v>
      </c>
      <c r="C87" s="24">
        <f t="shared" si="12"/>
        <v>0</v>
      </c>
      <c r="D87" s="24">
        <f t="shared" si="10"/>
        <v>0</v>
      </c>
      <c r="E87" s="24">
        <v>0</v>
      </c>
      <c r="F87" s="24"/>
      <c r="G87" s="24">
        <v>0</v>
      </c>
      <c r="H87" s="24"/>
      <c r="I87" s="24"/>
      <c r="J87" s="24"/>
      <c r="K87" s="24"/>
      <c r="L87" s="24"/>
      <c r="M87" s="24"/>
      <c r="N87" s="24">
        <v>0</v>
      </c>
      <c r="O87" s="24"/>
      <c r="P87" s="24"/>
      <c r="Q87" s="24"/>
      <c r="R87" s="24">
        <v>0</v>
      </c>
      <c r="S87" s="24"/>
      <c r="T87" s="24"/>
    </row>
    <row r="88" spans="1:21" s="35" customFormat="1" ht="24" hidden="1" customHeight="1">
      <c r="A88" s="38" t="s">
        <v>306</v>
      </c>
      <c r="B88" s="39" t="s">
        <v>257</v>
      </c>
      <c r="C88" s="24">
        <f>D88+T88</f>
        <v>0</v>
      </c>
      <c r="D88" s="24">
        <f>SUM(E88:N88)+Q88+R88+S88</f>
        <v>0</v>
      </c>
      <c r="E88" s="24"/>
      <c r="F88" s="24"/>
      <c r="G88" s="24">
        <v>0</v>
      </c>
      <c r="H88" s="24"/>
      <c r="I88" s="24"/>
      <c r="J88" s="24"/>
      <c r="K88" s="24"/>
      <c r="L88" s="24"/>
      <c r="M88" s="24"/>
      <c r="N88" s="24">
        <v>0</v>
      </c>
      <c r="O88" s="24"/>
      <c r="P88" s="24"/>
      <c r="Q88" s="24"/>
      <c r="R88" s="24">
        <v>0</v>
      </c>
      <c r="S88" s="24"/>
      <c r="T88" s="24"/>
    </row>
    <row r="89" spans="1:21" s="35" customFormat="1" ht="63.75" hidden="1" customHeight="1">
      <c r="A89" s="695" t="s">
        <v>11</v>
      </c>
      <c r="B89" s="696" t="s">
        <v>281</v>
      </c>
      <c r="C89" s="697">
        <f t="shared" si="12"/>
        <v>0</v>
      </c>
      <c r="D89" s="697"/>
      <c r="E89" s="697"/>
      <c r="F89" s="697"/>
      <c r="G89" s="697"/>
      <c r="H89" s="697"/>
      <c r="I89" s="697"/>
      <c r="J89" s="697"/>
      <c r="K89" s="697"/>
      <c r="L89" s="697"/>
      <c r="M89" s="697"/>
      <c r="N89" s="697"/>
      <c r="O89" s="697"/>
      <c r="P89" s="697"/>
      <c r="Q89" s="697"/>
      <c r="R89" s="697"/>
      <c r="S89" s="697"/>
      <c r="T89" s="697"/>
    </row>
    <row r="90" spans="1:21">
      <c r="T90" s="682"/>
    </row>
  </sheetData>
  <mergeCells count="24">
    <mergeCell ref="A2:S2"/>
    <mergeCell ref="A3:S3"/>
    <mergeCell ref="A5:A8"/>
    <mergeCell ref="B5:B8"/>
    <mergeCell ref="C5:C8"/>
    <mergeCell ref="D5:D8"/>
    <mergeCell ref="E5:E8"/>
    <mergeCell ref="F5:F8"/>
    <mergeCell ref="G5:G8"/>
    <mergeCell ref="H5:H8"/>
    <mergeCell ref="U5:U8"/>
    <mergeCell ref="O6:O8"/>
    <mergeCell ref="P6:P8"/>
    <mergeCell ref="I5:I8"/>
    <mergeCell ref="J5:J8"/>
    <mergeCell ref="K5:K8"/>
    <mergeCell ref="L5:L8"/>
    <mergeCell ref="M5:M8"/>
    <mergeCell ref="N5:N8"/>
    <mergeCell ref="O5:P5"/>
    <mergeCell ref="Q5:Q8"/>
    <mergeCell ref="R5:R8"/>
    <mergeCell ref="S5:S8"/>
    <mergeCell ref="T5:T8"/>
  </mergeCells>
  <phoneticPr fontId="53" type="noConversion"/>
  <printOptions horizontalCentered="1"/>
  <pageMargins left="0.19685039370078741" right="0.23622047244094491" top="0.55118110236220474" bottom="0.39370078740157483" header="0.35433070866141736" footer="0.19685039370078741"/>
  <pageSetup paperSize="9" scale="60" fitToHeight="0" orientation="landscape" r:id="rId1"/>
  <headerFooter alignWithMargins="0">
    <oddHeader>&amp;C41</oddHeader>
    <oddFooter>&amp;C&amp;"+,Regular"&amp;P/&amp;N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W49"/>
  <sheetViews>
    <sheetView zoomScale="70" zoomScaleNormal="70" workbookViewId="0">
      <selection activeCell="A40" sqref="A40:XFD41"/>
    </sheetView>
  </sheetViews>
  <sheetFormatPr defaultRowHeight="15.75" outlineLevelCol="2"/>
  <cols>
    <col min="1" max="1" width="6.140625" style="263" customWidth="1"/>
    <col min="2" max="2" width="27" style="263" customWidth="1"/>
    <col min="3" max="3" width="13.7109375" style="263" hidden="1" customWidth="1" outlineLevel="1"/>
    <col min="4" max="4" width="12.28515625" style="263" hidden="1" customWidth="1" outlineLevel="1"/>
    <col min="5" max="5" width="12.28515625" style="263" hidden="1" customWidth="1" outlineLevel="2"/>
    <col min="6" max="6" width="14" style="263" hidden="1" customWidth="1" outlineLevel="2"/>
    <col min="7" max="7" width="10.42578125" style="263" hidden="1" customWidth="1" outlineLevel="1"/>
    <col min="8" max="8" width="10.28515625" style="263" hidden="1" customWidth="1" outlineLevel="1"/>
    <col min="9" max="9" width="13.42578125" style="263" hidden="1" customWidth="1" outlineLevel="1"/>
    <col min="10" max="10" width="9" style="263" hidden="1" customWidth="1" outlineLevel="1"/>
    <col min="11" max="12" width="11.85546875" style="263" hidden="1" customWidth="1" outlineLevel="1"/>
    <col min="13" max="13" width="13.7109375" style="263" hidden="1" customWidth="1" outlineLevel="1"/>
    <col min="14" max="15" width="13.7109375" style="263" hidden="1" customWidth="1" outlineLevel="2"/>
    <col min="16" max="16" width="14.28515625" style="263" hidden="1" customWidth="1" outlineLevel="1"/>
    <col min="17" max="17" width="13.28515625" style="263" hidden="1" customWidth="1" outlineLevel="1"/>
    <col min="18" max="18" width="14.28515625" style="263" customWidth="1" collapsed="1"/>
    <col min="19" max="19" width="12.5703125" style="263" customWidth="1"/>
    <col min="20" max="21" width="13.5703125" style="263" hidden="1" customWidth="1" outlineLevel="1"/>
    <col min="22" max="22" width="11.5703125" style="263" customWidth="1" collapsed="1"/>
    <col min="23" max="23" width="11" style="263" customWidth="1"/>
    <col min="24" max="24" width="11.85546875" style="263" customWidth="1"/>
    <col min="25" max="25" width="9" style="263" customWidth="1"/>
    <col min="26" max="26" width="12.85546875" style="263" customWidth="1"/>
    <col min="27" max="27" width="13.7109375" style="263" customWidth="1"/>
    <col min="28" max="29" width="13.7109375" style="263" hidden="1" customWidth="1" outlineLevel="1"/>
    <col min="30" max="30" width="13.5703125" style="263" customWidth="1" collapsed="1"/>
    <col min="31" max="31" width="9" style="263" customWidth="1"/>
    <col min="32" max="32" width="13.28515625" style="263" hidden="1" customWidth="1" outlineLevel="1"/>
    <col min="33" max="33" width="9" style="263" hidden="1" customWidth="1" outlineLevel="1"/>
    <col min="34" max="34" width="10.85546875" style="263" hidden="1" customWidth="1" outlineLevel="1"/>
    <col min="35" max="35" width="13.5703125" style="263" hidden="1" customWidth="1" outlineLevel="1"/>
    <col min="36" max="36" width="9" style="263" hidden="1" customWidth="1" outlineLevel="1"/>
    <col min="37" max="37" width="11.5703125" style="263" hidden="1" customWidth="1" outlineLevel="1"/>
    <col min="38" max="38" width="9" style="263" hidden="1" customWidth="1" outlineLevel="1"/>
    <col min="39" max="39" width="10.140625" style="263" hidden="1" customWidth="1" outlineLevel="1"/>
    <col min="40" max="40" width="9" style="263" hidden="1" customWidth="1" outlineLevel="1"/>
    <col min="41" max="41" width="11.42578125" style="263" hidden="1" customWidth="1" outlineLevel="1"/>
    <col min="42" max="42" width="12.85546875" style="263" hidden="1" customWidth="1" collapsed="1"/>
    <col min="43" max="44" width="9.140625" style="263"/>
    <col min="45" max="45" width="10.28515625" style="263" bestFit="1" customWidth="1"/>
    <col min="46" max="46" width="13.5703125" style="263" hidden="1" customWidth="1"/>
    <col min="47" max="47" width="10.28515625" style="263" hidden="1" customWidth="1"/>
    <col min="48" max="49" width="0" style="263" hidden="1" customWidth="1"/>
    <col min="50" max="253" width="9.140625" style="263"/>
    <col min="254" max="254" width="6.140625" style="263" customWidth="1"/>
    <col min="255" max="255" width="27" style="263" customWidth="1"/>
    <col min="256" max="256" width="13.7109375" style="263" customWidth="1"/>
    <col min="257" max="258" width="12.28515625" style="263" customWidth="1"/>
    <col min="259" max="259" width="14" style="263" customWidth="1"/>
    <col min="260" max="260" width="10.42578125" style="263" customWidth="1"/>
    <col min="261" max="261" width="10.28515625" style="263" customWidth="1"/>
    <col min="262" max="262" width="13.42578125" style="263" customWidth="1"/>
    <col min="263" max="263" width="9" style="263" customWidth="1"/>
    <col min="264" max="265" width="11.85546875" style="263" customWidth="1"/>
    <col min="266" max="268" width="13.7109375" style="263" customWidth="1"/>
    <col min="269" max="269" width="14.28515625" style="263" customWidth="1"/>
    <col min="270" max="270" width="13.28515625" style="263" customWidth="1"/>
    <col min="271" max="271" width="14.28515625" style="263" customWidth="1"/>
    <col min="272" max="272" width="12.5703125" style="263" customWidth="1"/>
    <col min="273" max="274" width="0" style="263" hidden="1" customWidth="1"/>
    <col min="275" max="275" width="11.5703125" style="263" customWidth="1"/>
    <col min="276" max="276" width="11" style="263" customWidth="1"/>
    <col min="277" max="277" width="11.85546875" style="263" customWidth="1"/>
    <col min="278" max="278" width="9" style="263" customWidth="1"/>
    <col min="279" max="279" width="12.85546875" style="263" customWidth="1"/>
    <col min="280" max="280" width="13.7109375" style="263" customWidth="1"/>
    <col min="281" max="282" width="0" style="263" hidden="1" customWidth="1"/>
    <col min="283" max="283" width="13.5703125" style="263" customWidth="1"/>
    <col min="284" max="284" width="9" style="263" customWidth="1"/>
    <col min="285" max="285" width="13.28515625" style="263" customWidth="1"/>
    <col min="286" max="286" width="9" style="263" customWidth="1"/>
    <col min="287" max="287" width="10.85546875" style="263" customWidth="1"/>
    <col min="288" max="288" width="13.5703125" style="263" customWidth="1"/>
    <col min="289" max="289" width="9" style="263" customWidth="1"/>
    <col min="290" max="290" width="11.5703125" style="263" customWidth="1"/>
    <col min="291" max="291" width="9" style="263" customWidth="1"/>
    <col min="292" max="292" width="10.140625" style="263" customWidth="1"/>
    <col min="293" max="293" width="9" style="263" customWidth="1"/>
    <col min="294" max="294" width="11.42578125" style="263" customWidth="1"/>
    <col min="295" max="297" width="9.140625" style="263"/>
    <col min="298" max="298" width="12.85546875" style="263" customWidth="1"/>
    <col min="299" max="509" width="9.140625" style="263"/>
    <col min="510" max="510" width="6.140625" style="263" customWidth="1"/>
    <col min="511" max="511" width="27" style="263" customWidth="1"/>
    <col min="512" max="512" width="13.7109375" style="263" customWidth="1"/>
    <col min="513" max="514" width="12.28515625" style="263" customWidth="1"/>
    <col min="515" max="515" width="14" style="263" customWidth="1"/>
    <col min="516" max="516" width="10.42578125" style="263" customWidth="1"/>
    <col min="517" max="517" width="10.28515625" style="263" customWidth="1"/>
    <col min="518" max="518" width="13.42578125" style="263" customWidth="1"/>
    <col min="519" max="519" width="9" style="263" customWidth="1"/>
    <col min="520" max="521" width="11.85546875" style="263" customWidth="1"/>
    <col min="522" max="524" width="13.7109375" style="263" customWidth="1"/>
    <col min="525" max="525" width="14.28515625" style="263" customWidth="1"/>
    <col min="526" max="526" width="13.28515625" style="263" customWidth="1"/>
    <col min="527" max="527" width="14.28515625" style="263" customWidth="1"/>
    <col min="528" max="528" width="12.5703125" style="263" customWidth="1"/>
    <col min="529" max="530" width="0" style="263" hidden="1" customWidth="1"/>
    <col min="531" max="531" width="11.5703125" style="263" customWidth="1"/>
    <col min="532" max="532" width="11" style="263" customWidth="1"/>
    <col min="533" max="533" width="11.85546875" style="263" customWidth="1"/>
    <col min="534" max="534" width="9" style="263" customWidth="1"/>
    <col min="535" max="535" width="12.85546875" style="263" customWidth="1"/>
    <col min="536" max="536" width="13.7109375" style="263" customWidth="1"/>
    <col min="537" max="538" width="0" style="263" hidden="1" customWidth="1"/>
    <col min="539" max="539" width="13.5703125" style="263" customWidth="1"/>
    <col min="540" max="540" width="9" style="263" customWidth="1"/>
    <col min="541" max="541" width="13.28515625" style="263" customWidth="1"/>
    <col min="542" max="542" width="9" style="263" customWidth="1"/>
    <col min="543" max="543" width="10.85546875" style="263" customWidth="1"/>
    <col min="544" max="544" width="13.5703125" style="263" customWidth="1"/>
    <col min="545" max="545" width="9" style="263" customWidth="1"/>
    <col min="546" max="546" width="11.5703125" style="263" customWidth="1"/>
    <col min="547" max="547" width="9" style="263" customWidth="1"/>
    <col min="548" max="548" width="10.140625" style="263" customWidth="1"/>
    <col min="549" max="549" width="9" style="263" customWidth="1"/>
    <col min="550" max="550" width="11.42578125" style="263" customWidth="1"/>
    <col min="551" max="553" width="9.140625" style="263"/>
    <col min="554" max="554" width="12.85546875" style="263" customWidth="1"/>
    <col min="555" max="765" width="9.140625" style="263"/>
    <col min="766" max="766" width="6.140625" style="263" customWidth="1"/>
    <col min="767" max="767" width="27" style="263" customWidth="1"/>
    <col min="768" max="768" width="13.7109375" style="263" customWidth="1"/>
    <col min="769" max="770" width="12.28515625" style="263" customWidth="1"/>
    <col min="771" max="771" width="14" style="263" customWidth="1"/>
    <col min="772" max="772" width="10.42578125" style="263" customWidth="1"/>
    <col min="773" max="773" width="10.28515625" style="263" customWidth="1"/>
    <col min="774" max="774" width="13.42578125" style="263" customWidth="1"/>
    <col min="775" max="775" width="9" style="263" customWidth="1"/>
    <col min="776" max="777" width="11.85546875" style="263" customWidth="1"/>
    <col min="778" max="780" width="13.7109375" style="263" customWidth="1"/>
    <col min="781" max="781" width="14.28515625" style="263" customWidth="1"/>
    <col min="782" max="782" width="13.28515625" style="263" customWidth="1"/>
    <col min="783" max="783" width="14.28515625" style="263" customWidth="1"/>
    <col min="784" max="784" width="12.5703125" style="263" customWidth="1"/>
    <col min="785" max="786" width="0" style="263" hidden="1" customWidth="1"/>
    <col min="787" max="787" width="11.5703125" style="263" customWidth="1"/>
    <col min="788" max="788" width="11" style="263" customWidth="1"/>
    <col min="789" max="789" width="11.85546875" style="263" customWidth="1"/>
    <col min="790" max="790" width="9" style="263" customWidth="1"/>
    <col min="791" max="791" width="12.85546875" style="263" customWidth="1"/>
    <col min="792" max="792" width="13.7109375" style="263" customWidth="1"/>
    <col min="793" max="794" width="0" style="263" hidden="1" customWidth="1"/>
    <col min="795" max="795" width="13.5703125" style="263" customWidth="1"/>
    <col min="796" max="796" width="9" style="263" customWidth="1"/>
    <col min="797" max="797" width="13.28515625" style="263" customWidth="1"/>
    <col min="798" max="798" width="9" style="263" customWidth="1"/>
    <col min="799" max="799" width="10.85546875" style="263" customWidth="1"/>
    <col min="800" max="800" width="13.5703125" style="263" customWidth="1"/>
    <col min="801" max="801" width="9" style="263" customWidth="1"/>
    <col min="802" max="802" width="11.5703125" style="263" customWidth="1"/>
    <col min="803" max="803" width="9" style="263" customWidth="1"/>
    <col min="804" max="804" width="10.140625" style="263" customWidth="1"/>
    <col min="805" max="805" width="9" style="263" customWidth="1"/>
    <col min="806" max="806" width="11.42578125" style="263" customWidth="1"/>
    <col min="807" max="809" width="9.140625" style="263"/>
    <col min="810" max="810" width="12.85546875" style="263" customWidth="1"/>
    <col min="811" max="1021" width="9.140625" style="263"/>
    <col min="1022" max="1022" width="6.140625" style="263" customWidth="1"/>
    <col min="1023" max="1023" width="27" style="263" customWidth="1"/>
    <col min="1024" max="1024" width="13.7109375" style="263" customWidth="1"/>
    <col min="1025" max="1026" width="12.28515625" style="263" customWidth="1"/>
    <col min="1027" max="1027" width="14" style="263" customWidth="1"/>
    <col min="1028" max="1028" width="10.42578125" style="263" customWidth="1"/>
    <col min="1029" max="1029" width="10.28515625" style="263" customWidth="1"/>
    <col min="1030" max="1030" width="13.42578125" style="263" customWidth="1"/>
    <col min="1031" max="1031" width="9" style="263" customWidth="1"/>
    <col min="1032" max="1033" width="11.85546875" style="263" customWidth="1"/>
    <col min="1034" max="1036" width="13.7109375" style="263" customWidth="1"/>
    <col min="1037" max="1037" width="14.28515625" style="263" customWidth="1"/>
    <col min="1038" max="1038" width="13.28515625" style="263" customWidth="1"/>
    <col min="1039" max="1039" width="14.28515625" style="263" customWidth="1"/>
    <col min="1040" max="1040" width="12.5703125" style="263" customWidth="1"/>
    <col min="1041" max="1042" width="0" style="263" hidden="1" customWidth="1"/>
    <col min="1043" max="1043" width="11.5703125" style="263" customWidth="1"/>
    <col min="1044" max="1044" width="11" style="263" customWidth="1"/>
    <col min="1045" max="1045" width="11.85546875" style="263" customWidth="1"/>
    <col min="1046" max="1046" width="9" style="263" customWidth="1"/>
    <col min="1047" max="1047" width="12.85546875" style="263" customWidth="1"/>
    <col min="1048" max="1048" width="13.7109375" style="263" customWidth="1"/>
    <col min="1049" max="1050" width="0" style="263" hidden="1" customWidth="1"/>
    <col min="1051" max="1051" width="13.5703125" style="263" customWidth="1"/>
    <col min="1052" max="1052" width="9" style="263" customWidth="1"/>
    <col min="1053" max="1053" width="13.28515625" style="263" customWidth="1"/>
    <col min="1054" max="1054" width="9" style="263" customWidth="1"/>
    <col min="1055" max="1055" width="10.85546875" style="263" customWidth="1"/>
    <col min="1056" max="1056" width="13.5703125" style="263" customWidth="1"/>
    <col min="1057" max="1057" width="9" style="263" customWidth="1"/>
    <col min="1058" max="1058" width="11.5703125" style="263" customWidth="1"/>
    <col min="1059" max="1059" width="9" style="263" customWidth="1"/>
    <col min="1060" max="1060" width="10.140625" style="263" customWidth="1"/>
    <col min="1061" max="1061" width="9" style="263" customWidth="1"/>
    <col min="1062" max="1062" width="11.42578125" style="263" customWidth="1"/>
    <col min="1063" max="1065" width="9.140625" style="263"/>
    <col min="1066" max="1066" width="12.85546875" style="263" customWidth="1"/>
    <col min="1067" max="1277" width="9.140625" style="263"/>
    <col min="1278" max="1278" width="6.140625" style="263" customWidth="1"/>
    <col min="1279" max="1279" width="27" style="263" customWidth="1"/>
    <col min="1280" max="1280" width="13.7109375" style="263" customWidth="1"/>
    <col min="1281" max="1282" width="12.28515625" style="263" customWidth="1"/>
    <col min="1283" max="1283" width="14" style="263" customWidth="1"/>
    <col min="1284" max="1284" width="10.42578125" style="263" customWidth="1"/>
    <col min="1285" max="1285" width="10.28515625" style="263" customWidth="1"/>
    <col min="1286" max="1286" width="13.42578125" style="263" customWidth="1"/>
    <col min="1287" max="1287" width="9" style="263" customWidth="1"/>
    <col min="1288" max="1289" width="11.85546875" style="263" customWidth="1"/>
    <col min="1290" max="1292" width="13.7109375" style="263" customWidth="1"/>
    <col min="1293" max="1293" width="14.28515625" style="263" customWidth="1"/>
    <col min="1294" max="1294" width="13.28515625" style="263" customWidth="1"/>
    <col min="1295" max="1295" width="14.28515625" style="263" customWidth="1"/>
    <col min="1296" max="1296" width="12.5703125" style="263" customWidth="1"/>
    <col min="1297" max="1298" width="0" style="263" hidden="1" customWidth="1"/>
    <col min="1299" max="1299" width="11.5703125" style="263" customWidth="1"/>
    <col min="1300" max="1300" width="11" style="263" customWidth="1"/>
    <col min="1301" max="1301" width="11.85546875" style="263" customWidth="1"/>
    <col min="1302" max="1302" width="9" style="263" customWidth="1"/>
    <col min="1303" max="1303" width="12.85546875" style="263" customWidth="1"/>
    <col min="1304" max="1304" width="13.7109375" style="263" customWidth="1"/>
    <col min="1305" max="1306" width="0" style="263" hidden="1" customWidth="1"/>
    <col min="1307" max="1307" width="13.5703125" style="263" customWidth="1"/>
    <col min="1308" max="1308" width="9" style="263" customWidth="1"/>
    <col min="1309" max="1309" width="13.28515625" style="263" customWidth="1"/>
    <col min="1310" max="1310" width="9" style="263" customWidth="1"/>
    <col min="1311" max="1311" width="10.85546875" style="263" customWidth="1"/>
    <col min="1312" max="1312" width="13.5703125" style="263" customWidth="1"/>
    <col min="1313" max="1313" width="9" style="263" customWidth="1"/>
    <col min="1314" max="1314" width="11.5703125" style="263" customWidth="1"/>
    <col min="1315" max="1315" width="9" style="263" customWidth="1"/>
    <col min="1316" max="1316" width="10.140625" style="263" customWidth="1"/>
    <col min="1317" max="1317" width="9" style="263" customWidth="1"/>
    <col min="1318" max="1318" width="11.42578125" style="263" customWidth="1"/>
    <col min="1319" max="1321" width="9.140625" style="263"/>
    <col min="1322" max="1322" width="12.85546875" style="263" customWidth="1"/>
    <col min="1323" max="1533" width="9.140625" style="263"/>
    <col min="1534" max="1534" width="6.140625" style="263" customWidth="1"/>
    <col min="1535" max="1535" width="27" style="263" customWidth="1"/>
    <col min="1536" max="1536" width="13.7109375" style="263" customWidth="1"/>
    <col min="1537" max="1538" width="12.28515625" style="263" customWidth="1"/>
    <col min="1539" max="1539" width="14" style="263" customWidth="1"/>
    <col min="1540" max="1540" width="10.42578125" style="263" customWidth="1"/>
    <col min="1541" max="1541" width="10.28515625" style="263" customWidth="1"/>
    <col min="1542" max="1542" width="13.42578125" style="263" customWidth="1"/>
    <col min="1543" max="1543" width="9" style="263" customWidth="1"/>
    <col min="1544" max="1545" width="11.85546875" style="263" customWidth="1"/>
    <col min="1546" max="1548" width="13.7109375" style="263" customWidth="1"/>
    <col min="1549" max="1549" width="14.28515625" style="263" customWidth="1"/>
    <col min="1550" max="1550" width="13.28515625" style="263" customWidth="1"/>
    <col min="1551" max="1551" width="14.28515625" style="263" customWidth="1"/>
    <col min="1552" max="1552" width="12.5703125" style="263" customWidth="1"/>
    <col min="1553" max="1554" width="0" style="263" hidden="1" customWidth="1"/>
    <col min="1555" max="1555" width="11.5703125" style="263" customWidth="1"/>
    <col min="1556" max="1556" width="11" style="263" customWidth="1"/>
    <col min="1557" max="1557" width="11.85546875" style="263" customWidth="1"/>
    <col min="1558" max="1558" width="9" style="263" customWidth="1"/>
    <col min="1559" max="1559" width="12.85546875" style="263" customWidth="1"/>
    <col min="1560" max="1560" width="13.7109375" style="263" customWidth="1"/>
    <col min="1561" max="1562" width="0" style="263" hidden="1" customWidth="1"/>
    <col min="1563" max="1563" width="13.5703125" style="263" customWidth="1"/>
    <col min="1564" max="1564" width="9" style="263" customWidth="1"/>
    <col min="1565" max="1565" width="13.28515625" style="263" customWidth="1"/>
    <col min="1566" max="1566" width="9" style="263" customWidth="1"/>
    <col min="1567" max="1567" width="10.85546875" style="263" customWidth="1"/>
    <col min="1568" max="1568" width="13.5703125" style="263" customWidth="1"/>
    <col min="1569" max="1569" width="9" style="263" customWidth="1"/>
    <col min="1570" max="1570" width="11.5703125" style="263" customWidth="1"/>
    <col min="1571" max="1571" width="9" style="263" customWidth="1"/>
    <col min="1572" max="1572" width="10.140625" style="263" customWidth="1"/>
    <col min="1573" max="1573" width="9" style="263" customWidth="1"/>
    <col min="1574" max="1574" width="11.42578125" style="263" customWidth="1"/>
    <col min="1575" max="1577" width="9.140625" style="263"/>
    <col min="1578" max="1578" width="12.85546875" style="263" customWidth="1"/>
    <col min="1579" max="1789" width="9.140625" style="263"/>
    <col min="1790" max="1790" width="6.140625" style="263" customWidth="1"/>
    <col min="1791" max="1791" width="27" style="263" customWidth="1"/>
    <col min="1792" max="1792" width="13.7109375" style="263" customWidth="1"/>
    <col min="1793" max="1794" width="12.28515625" style="263" customWidth="1"/>
    <col min="1795" max="1795" width="14" style="263" customWidth="1"/>
    <col min="1796" max="1796" width="10.42578125" style="263" customWidth="1"/>
    <col min="1797" max="1797" width="10.28515625" style="263" customWidth="1"/>
    <col min="1798" max="1798" width="13.42578125" style="263" customWidth="1"/>
    <col min="1799" max="1799" width="9" style="263" customWidth="1"/>
    <col min="1800" max="1801" width="11.85546875" style="263" customWidth="1"/>
    <col min="1802" max="1804" width="13.7109375" style="263" customWidth="1"/>
    <col min="1805" max="1805" width="14.28515625" style="263" customWidth="1"/>
    <col min="1806" max="1806" width="13.28515625" style="263" customWidth="1"/>
    <col min="1807" max="1807" width="14.28515625" style="263" customWidth="1"/>
    <col min="1808" max="1808" width="12.5703125" style="263" customWidth="1"/>
    <col min="1809" max="1810" width="0" style="263" hidden="1" customWidth="1"/>
    <col min="1811" max="1811" width="11.5703125" style="263" customWidth="1"/>
    <col min="1812" max="1812" width="11" style="263" customWidth="1"/>
    <col min="1813" max="1813" width="11.85546875" style="263" customWidth="1"/>
    <col min="1814" max="1814" width="9" style="263" customWidth="1"/>
    <col min="1815" max="1815" width="12.85546875" style="263" customWidth="1"/>
    <col min="1816" max="1816" width="13.7109375" style="263" customWidth="1"/>
    <col min="1817" max="1818" width="0" style="263" hidden="1" customWidth="1"/>
    <col min="1819" max="1819" width="13.5703125" style="263" customWidth="1"/>
    <col min="1820" max="1820" width="9" style="263" customWidth="1"/>
    <col min="1821" max="1821" width="13.28515625" style="263" customWidth="1"/>
    <col min="1822" max="1822" width="9" style="263" customWidth="1"/>
    <col min="1823" max="1823" width="10.85546875" style="263" customWidth="1"/>
    <col min="1824" max="1824" width="13.5703125" style="263" customWidth="1"/>
    <col min="1825" max="1825" width="9" style="263" customWidth="1"/>
    <col min="1826" max="1826" width="11.5703125" style="263" customWidth="1"/>
    <col min="1827" max="1827" width="9" style="263" customWidth="1"/>
    <col min="1828" max="1828" width="10.140625" style="263" customWidth="1"/>
    <col min="1829" max="1829" width="9" style="263" customWidth="1"/>
    <col min="1830" max="1830" width="11.42578125" style="263" customWidth="1"/>
    <col min="1831" max="1833" width="9.140625" style="263"/>
    <col min="1834" max="1834" width="12.85546875" style="263" customWidth="1"/>
    <col min="1835" max="2045" width="9.140625" style="263"/>
    <col min="2046" max="2046" width="6.140625" style="263" customWidth="1"/>
    <col min="2047" max="2047" width="27" style="263" customWidth="1"/>
    <col min="2048" max="2048" width="13.7109375" style="263" customWidth="1"/>
    <col min="2049" max="2050" width="12.28515625" style="263" customWidth="1"/>
    <col min="2051" max="2051" width="14" style="263" customWidth="1"/>
    <col min="2052" max="2052" width="10.42578125" style="263" customWidth="1"/>
    <col min="2053" max="2053" width="10.28515625" style="263" customWidth="1"/>
    <col min="2054" max="2054" width="13.42578125" style="263" customWidth="1"/>
    <col min="2055" max="2055" width="9" style="263" customWidth="1"/>
    <col min="2056" max="2057" width="11.85546875" style="263" customWidth="1"/>
    <col min="2058" max="2060" width="13.7109375" style="263" customWidth="1"/>
    <col min="2061" max="2061" width="14.28515625" style="263" customWidth="1"/>
    <col min="2062" max="2062" width="13.28515625" style="263" customWidth="1"/>
    <col min="2063" max="2063" width="14.28515625" style="263" customWidth="1"/>
    <col min="2064" max="2064" width="12.5703125" style="263" customWidth="1"/>
    <col min="2065" max="2066" width="0" style="263" hidden="1" customWidth="1"/>
    <col min="2067" max="2067" width="11.5703125" style="263" customWidth="1"/>
    <col min="2068" max="2068" width="11" style="263" customWidth="1"/>
    <col min="2069" max="2069" width="11.85546875" style="263" customWidth="1"/>
    <col min="2070" max="2070" width="9" style="263" customWidth="1"/>
    <col min="2071" max="2071" width="12.85546875" style="263" customWidth="1"/>
    <col min="2072" max="2072" width="13.7109375" style="263" customWidth="1"/>
    <col min="2073" max="2074" width="0" style="263" hidden="1" customWidth="1"/>
    <col min="2075" max="2075" width="13.5703125" style="263" customWidth="1"/>
    <col min="2076" max="2076" width="9" style="263" customWidth="1"/>
    <col min="2077" max="2077" width="13.28515625" style="263" customWidth="1"/>
    <col min="2078" max="2078" width="9" style="263" customWidth="1"/>
    <col min="2079" max="2079" width="10.85546875" style="263" customWidth="1"/>
    <col min="2080" max="2080" width="13.5703125" style="263" customWidth="1"/>
    <col min="2081" max="2081" width="9" style="263" customWidth="1"/>
    <col min="2082" max="2082" width="11.5703125" style="263" customWidth="1"/>
    <col min="2083" max="2083" width="9" style="263" customWidth="1"/>
    <col min="2084" max="2084" width="10.140625" style="263" customWidth="1"/>
    <col min="2085" max="2085" width="9" style="263" customWidth="1"/>
    <col min="2086" max="2086" width="11.42578125" style="263" customWidth="1"/>
    <col min="2087" max="2089" width="9.140625" style="263"/>
    <col min="2090" max="2090" width="12.85546875" style="263" customWidth="1"/>
    <col min="2091" max="2301" width="9.140625" style="263"/>
    <col min="2302" max="2302" width="6.140625" style="263" customWidth="1"/>
    <col min="2303" max="2303" width="27" style="263" customWidth="1"/>
    <col min="2304" max="2304" width="13.7109375" style="263" customWidth="1"/>
    <col min="2305" max="2306" width="12.28515625" style="263" customWidth="1"/>
    <col min="2307" max="2307" width="14" style="263" customWidth="1"/>
    <col min="2308" max="2308" width="10.42578125" style="263" customWidth="1"/>
    <col min="2309" max="2309" width="10.28515625" style="263" customWidth="1"/>
    <col min="2310" max="2310" width="13.42578125" style="263" customWidth="1"/>
    <col min="2311" max="2311" width="9" style="263" customWidth="1"/>
    <col min="2312" max="2313" width="11.85546875" style="263" customWidth="1"/>
    <col min="2314" max="2316" width="13.7109375" style="263" customWidth="1"/>
    <col min="2317" max="2317" width="14.28515625" style="263" customWidth="1"/>
    <col min="2318" max="2318" width="13.28515625" style="263" customWidth="1"/>
    <col min="2319" max="2319" width="14.28515625" style="263" customWidth="1"/>
    <col min="2320" max="2320" width="12.5703125" style="263" customWidth="1"/>
    <col min="2321" max="2322" width="0" style="263" hidden="1" customWidth="1"/>
    <col min="2323" max="2323" width="11.5703125" style="263" customWidth="1"/>
    <col min="2324" max="2324" width="11" style="263" customWidth="1"/>
    <col min="2325" max="2325" width="11.85546875" style="263" customWidth="1"/>
    <col min="2326" max="2326" width="9" style="263" customWidth="1"/>
    <col min="2327" max="2327" width="12.85546875" style="263" customWidth="1"/>
    <col min="2328" max="2328" width="13.7109375" style="263" customWidth="1"/>
    <col min="2329" max="2330" width="0" style="263" hidden="1" customWidth="1"/>
    <col min="2331" max="2331" width="13.5703125" style="263" customWidth="1"/>
    <col min="2332" max="2332" width="9" style="263" customWidth="1"/>
    <col min="2333" max="2333" width="13.28515625" style="263" customWidth="1"/>
    <col min="2334" max="2334" width="9" style="263" customWidth="1"/>
    <col min="2335" max="2335" width="10.85546875" style="263" customWidth="1"/>
    <col min="2336" max="2336" width="13.5703125" style="263" customWidth="1"/>
    <col min="2337" max="2337" width="9" style="263" customWidth="1"/>
    <col min="2338" max="2338" width="11.5703125" style="263" customWidth="1"/>
    <col min="2339" max="2339" width="9" style="263" customWidth="1"/>
    <col min="2340" max="2340" width="10.140625" style="263" customWidth="1"/>
    <col min="2341" max="2341" width="9" style="263" customWidth="1"/>
    <col min="2342" max="2342" width="11.42578125" style="263" customWidth="1"/>
    <col min="2343" max="2345" width="9.140625" style="263"/>
    <col min="2346" max="2346" width="12.85546875" style="263" customWidth="1"/>
    <col min="2347" max="2557" width="9.140625" style="263"/>
    <col min="2558" max="2558" width="6.140625" style="263" customWidth="1"/>
    <col min="2559" max="2559" width="27" style="263" customWidth="1"/>
    <col min="2560" max="2560" width="13.7109375" style="263" customWidth="1"/>
    <col min="2561" max="2562" width="12.28515625" style="263" customWidth="1"/>
    <col min="2563" max="2563" width="14" style="263" customWidth="1"/>
    <col min="2564" max="2564" width="10.42578125" style="263" customWidth="1"/>
    <col min="2565" max="2565" width="10.28515625" style="263" customWidth="1"/>
    <col min="2566" max="2566" width="13.42578125" style="263" customWidth="1"/>
    <col min="2567" max="2567" width="9" style="263" customWidth="1"/>
    <col min="2568" max="2569" width="11.85546875" style="263" customWidth="1"/>
    <col min="2570" max="2572" width="13.7109375" style="263" customWidth="1"/>
    <col min="2573" max="2573" width="14.28515625" style="263" customWidth="1"/>
    <col min="2574" max="2574" width="13.28515625" style="263" customWidth="1"/>
    <col min="2575" max="2575" width="14.28515625" style="263" customWidth="1"/>
    <col min="2576" max="2576" width="12.5703125" style="263" customWidth="1"/>
    <col min="2577" max="2578" width="0" style="263" hidden="1" customWidth="1"/>
    <col min="2579" max="2579" width="11.5703125" style="263" customWidth="1"/>
    <col min="2580" max="2580" width="11" style="263" customWidth="1"/>
    <col min="2581" max="2581" width="11.85546875" style="263" customWidth="1"/>
    <col min="2582" max="2582" width="9" style="263" customWidth="1"/>
    <col min="2583" max="2583" width="12.85546875" style="263" customWidth="1"/>
    <col min="2584" max="2584" width="13.7109375" style="263" customWidth="1"/>
    <col min="2585" max="2586" width="0" style="263" hidden="1" customWidth="1"/>
    <col min="2587" max="2587" width="13.5703125" style="263" customWidth="1"/>
    <col min="2588" max="2588" width="9" style="263" customWidth="1"/>
    <col min="2589" max="2589" width="13.28515625" style="263" customWidth="1"/>
    <col min="2590" max="2590" width="9" style="263" customWidth="1"/>
    <col min="2591" max="2591" width="10.85546875" style="263" customWidth="1"/>
    <col min="2592" max="2592" width="13.5703125" style="263" customWidth="1"/>
    <col min="2593" max="2593" width="9" style="263" customWidth="1"/>
    <col min="2594" max="2594" width="11.5703125" style="263" customWidth="1"/>
    <col min="2595" max="2595" width="9" style="263" customWidth="1"/>
    <col min="2596" max="2596" width="10.140625" style="263" customWidth="1"/>
    <col min="2597" max="2597" width="9" style="263" customWidth="1"/>
    <col min="2598" max="2598" width="11.42578125" style="263" customWidth="1"/>
    <col min="2599" max="2601" width="9.140625" style="263"/>
    <col min="2602" max="2602" width="12.85546875" style="263" customWidth="1"/>
    <col min="2603" max="2813" width="9.140625" style="263"/>
    <col min="2814" max="2814" width="6.140625" style="263" customWidth="1"/>
    <col min="2815" max="2815" width="27" style="263" customWidth="1"/>
    <col min="2816" max="2816" width="13.7109375" style="263" customWidth="1"/>
    <col min="2817" max="2818" width="12.28515625" style="263" customWidth="1"/>
    <col min="2819" max="2819" width="14" style="263" customWidth="1"/>
    <col min="2820" max="2820" width="10.42578125" style="263" customWidth="1"/>
    <col min="2821" max="2821" width="10.28515625" style="263" customWidth="1"/>
    <col min="2822" max="2822" width="13.42578125" style="263" customWidth="1"/>
    <col min="2823" max="2823" width="9" style="263" customWidth="1"/>
    <col min="2824" max="2825" width="11.85546875" style="263" customWidth="1"/>
    <col min="2826" max="2828" width="13.7109375" style="263" customWidth="1"/>
    <col min="2829" max="2829" width="14.28515625" style="263" customWidth="1"/>
    <col min="2830" max="2830" width="13.28515625" style="263" customWidth="1"/>
    <col min="2831" max="2831" width="14.28515625" style="263" customWidth="1"/>
    <col min="2832" max="2832" width="12.5703125" style="263" customWidth="1"/>
    <col min="2833" max="2834" width="0" style="263" hidden="1" customWidth="1"/>
    <col min="2835" max="2835" width="11.5703125" style="263" customWidth="1"/>
    <col min="2836" max="2836" width="11" style="263" customWidth="1"/>
    <col min="2837" max="2837" width="11.85546875" style="263" customWidth="1"/>
    <col min="2838" max="2838" width="9" style="263" customWidth="1"/>
    <col min="2839" max="2839" width="12.85546875" style="263" customWidth="1"/>
    <col min="2840" max="2840" width="13.7109375" style="263" customWidth="1"/>
    <col min="2841" max="2842" width="0" style="263" hidden="1" customWidth="1"/>
    <col min="2843" max="2843" width="13.5703125" style="263" customWidth="1"/>
    <col min="2844" max="2844" width="9" style="263" customWidth="1"/>
    <col min="2845" max="2845" width="13.28515625" style="263" customWidth="1"/>
    <col min="2846" max="2846" width="9" style="263" customWidth="1"/>
    <col min="2847" max="2847" width="10.85546875" style="263" customWidth="1"/>
    <col min="2848" max="2848" width="13.5703125" style="263" customWidth="1"/>
    <col min="2849" max="2849" width="9" style="263" customWidth="1"/>
    <col min="2850" max="2850" width="11.5703125" style="263" customWidth="1"/>
    <col min="2851" max="2851" width="9" style="263" customWidth="1"/>
    <col min="2852" max="2852" width="10.140625" style="263" customWidth="1"/>
    <col min="2853" max="2853" width="9" style="263" customWidth="1"/>
    <col min="2854" max="2854" width="11.42578125" style="263" customWidth="1"/>
    <col min="2855" max="2857" width="9.140625" style="263"/>
    <col min="2858" max="2858" width="12.85546875" style="263" customWidth="1"/>
    <col min="2859" max="3069" width="9.140625" style="263"/>
    <col min="3070" max="3070" width="6.140625" style="263" customWidth="1"/>
    <col min="3071" max="3071" width="27" style="263" customWidth="1"/>
    <col min="3072" max="3072" width="13.7109375" style="263" customWidth="1"/>
    <col min="3073" max="3074" width="12.28515625" style="263" customWidth="1"/>
    <col min="3075" max="3075" width="14" style="263" customWidth="1"/>
    <col min="3076" max="3076" width="10.42578125" style="263" customWidth="1"/>
    <col min="3077" max="3077" width="10.28515625" style="263" customWidth="1"/>
    <col min="3078" max="3078" width="13.42578125" style="263" customWidth="1"/>
    <col min="3079" max="3079" width="9" style="263" customWidth="1"/>
    <col min="3080" max="3081" width="11.85546875" style="263" customWidth="1"/>
    <col min="3082" max="3084" width="13.7109375" style="263" customWidth="1"/>
    <col min="3085" max="3085" width="14.28515625" style="263" customWidth="1"/>
    <col min="3086" max="3086" width="13.28515625" style="263" customWidth="1"/>
    <col min="3087" max="3087" width="14.28515625" style="263" customWidth="1"/>
    <col min="3088" max="3088" width="12.5703125" style="263" customWidth="1"/>
    <col min="3089" max="3090" width="0" style="263" hidden="1" customWidth="1"/>
    <col min="3091" max="3091" width="11.5703125" style="263" customWidth="1"/>
    <col min="3092" max="3092" width="11" style="263" customWidth="1"/>
    <col min="3093" max="3093" width="11.85546875" style="263" customWidth="1"/>
    <col min="3094" max="3094" width="9" style="263" customWidth="1"/>
    <col min="3095" max="3095" width="12.85546875" style="263" customWidth="1"/>
    <col min="3096" max="3096" width="13.7109375" style="263" customWidth="1"/>
    <col min="3097" max="3098" width="0" style="263" hidden="1" customWidth="1"/>
    <col min="3099" max="3099" width="13.5703125" style="263" customWidth="1"/>
    <col min="3100" max="3100" width="9" style="263" customWidth="1"/>
    <col min="3101" max="3101" width="13.28515625" style="263" customWidth="1"/>
    <col min="3102" max="3102" width="9" style="263" customWidth="1"/>
    <col min="3103" max="3103" width="10.85546875" style="263" customWidth="1"/>
    <col min="3104" max="3104" width="13.5703125" style="263" customWidth="1"/>
    <col min="3105" max="3105" width="9" style="263" customWidth="1"/>
    <col min="3106" max="3106" width="11.5703125" style="263" customWidth="1"/>
    <col min="3107" max="3107" width="9" style="263" customWidth="1"/>
    <col min="3108" max="3108" width="10.140625" style="263" customWidth="1"/>
    <col min="3109" max="3109" width="9" style="263" customWidth="1"/>
    <col min="3110" max="3110" width="11.42578125" style="263" customWidth="1"/>
    <col min="3111" max="3113" width="9.140625" style="263"/>
    <col min="3114" max="3114" width="12.85546875" style="263" customWidth="1"/>
    <col min="3115" max="3325" width="9.140625" style="263"/>
    <col min="3326" max="3326" width="6.140625" style="263" customWidth="1"/>
    <col min="3327" max="3327" width="27" style="263" customWidth="1"/>
    <col min="3328" max="3328" width="13.7109375" style="263" customWidth="1"/>
    <col min="3329" max="3330" width="12.28515625" style="263" customWidth="1"/>
    <col min="3331" max="3331" width="14" style="263" customWidth="1"/>
    <col min="3332" max="3332" width="10.42578125" style="263" customWidth="1"/>
    <col min="3333" max="3333" width="10.28515625" style="263" customWidth="1"/>
    <col min="3334" max="3334" width="13.42578125" style="263" customWidth="1"/>
    <col min="3335" max="3335" width="9" style="263" customWidth="1"/>
    <col min="3336" max="3337" width="11.85546875" style="263" customWidth="1"/>
    <col min="3338" max="3340" width="13.7109375" style="263" customWidth="1"/>
    <col min="3341" max="3341" width="14.28515625" style="263" customWidth="1"/>
    <col min="3342" max="3342" width="13.28515625" style="263" customWidth="1"/>
    <col min="3343" max="3343" width="14.28515625" style="263" customWidth="1"/>
    <col min="3344" max="3344" width="12.5703125" style="263" customWidth="1"/>
    <col min="3345" max="3346" width="0" style="263" hidden="1" customWidth="1"/>
    <col min="3347" max="3347" width="11.5703125" style="263" customWidth="1"/>
    <col min="3348" max="3348" width="11" style="263" customWidth="1"/>
    <col min="3349" max="3349" width="11.85546875" style="263" customWidth="1"/>
    <col min="3350" max="3350" width="9" style="263" customWidth="1"/>
    <col min="3351" max="3351" width="12.85546875" style="263" customWidth="1"/>
    <col min="3352" max="3352" width="13.7109375" style="263" customWidth="1"/>
    <col min="3353" max="3354" width="0" style="263" hidden="1" customWidth="1"/>
    <col min="3355" max="3355" width="13.5703125" style="263" customWidth="1"/>
    <col min="3356" max="3356" width="9" style="263" customWidth="1"/>
    <col min="3357" max="3357" width="13.28515625" style="263" customWidth="1"/>
    <col min="3358" max="3358" width="9" style="263" customWidth="1"/>
    <col min="3359" max="3359" width="10.85546875" style="263" customWidth="1"/>
    <col min="3360" max="3360" width="13.5703125" style="263" customWidth="1"/>
    <col min="3361" max="3361" width="9" style="263" customWidth="1"/>
    <col min="3362" max="3362" width="11.5703125" style="263" customWidth="1"/>
    <col min="3363" max="3363" width="9" style="263" customWidth="1"/>
    <col min="3364" max="3364" width="10.140625" style="263" customWidth="1"/>
    <col min="3365" max="3365" width="9" style="263" customWidth="1"/>
    <col min="3366" max="3366" width="11.42578125" style="263" customWidth="1"/>
    <col min="3367" max="3369" width="9.140625" style="263"/>
    <col min="3370" max="3370" width="12.85546875" style="263" customWidth="1"/>
    <col min="3371" max="3581" width="9.140625" style="263"/>
    <col min="3582" max="3582" width="6.140625" style="263" customWidth="1"/>
    <col min="3583" max="3583" width="27" style="263" customWidth="1"/>
    <col min="3584" max="3584" width="13.7109375" style="263" customWidth="1"/>
    <col min="3585" max="3586" width="12.28515625" style="263" customWidth="1"/>
    <col min="3587" max="3587" width="14" style="263" customWidth="1"/>
    <col min="3588" max="3588" width="10.42578125" style="263" customWidth="1"/>
    <col min="3589" max="3589" width="10.28515625" style="263" customWidth="1"/>
    <col min="3590" max="3590" width="13.42578125" style="263" customWidth="1"/>
    <col min="3591" max="3591" width="9" style="263" customWidth="1"/>
    <col min="3592" max="3593" width="11.85546875" style="263" customWidth="1"/>
    <col min="3594" max="3596" width="13.7109375" style="263" customWidth="1"/>
    <col min="3597" max="3597" width="14.28515625" style="263" customWidth="1"/>
    <col min="3598" max="3598" width="13.28515625" style="263" customWidth="1"/>
    <col min="3599" max="3599" width="14.28515625" style="263" customWidth="1"/>
    <col min="3600" max="3600" width="12.5703125" style="263" customWidth="1"/>
    <col min="3601" max="3602" width="0" style="263" hidden="1" customWidth="1"/>
    <col min="3603" max="3603" width="11.5703125" style="263" customWidth="1"/>
    <col min="3604" max="3604" width="11" style="263" customWidth="1"/>
    <col min="3605" max="3605" width="11.85546875" style="263" customWidth="1"/>
    <col min="3606" max="3606" width="9" style="263" customWidth="1"/>
    <col min="3607" max="3607" width="12.85546875" style="263" customWidth="1"/>
    <col min="3608" max="3608" width="13.7109375" style="263" customWidth="1"/>
    <col min="3609" max="3610" width="0" style="263" hidden="1" customWidth="1"/>
    <col min="3611" max="3611" width="13.5703125" style="263" customWidth="1"/>
    <col min="3612" max="3612" width="9" style="263" customWidth="1"/>
    <col min="3613" max="3613" width="13.28515625" style="263" customWidth="1"/>
    <col min="3614" max="3614" width="9" style="263" customWidth="1"/>
    <col min="3615" max="3615" width="10.85546875" style="263" customWidth="1"/>
    <col min="3616" max="3616" width="13.5703125" style="263" customWidth="1"/>
    <col min="3617" max="3617" width="9" style="263" customWidth="1"/>
    <col min="3618" max="3618" width="11.5703125" style="263" customWidth="1"/>
    <col min="3619" max="3619" width="9" style="263" customWidth="1"/>
    <col min="3620" max="3620" width="10.140625" style="263" customWidth="1"/>
    <col min="3621" max="3621" width="9" style="263" customWidth="1"/>
    <col min="3622" max="3622" width="11.42578125" style="263" customWidth="1"/>
    <col min="3623" max="3625" width="9.140625" style="263"/>
    <col min="3626" max="3626" width="12.85546875" style="263" customWidth="1"/>
    <col min="3627" max="3837" width="9.140625" style="263"/>
    <col min="3838" max="3838" width="6.140625" style="263" customWidth="1"/>
    <col min="3839" max="3839" width="27" style="263" customWidth="1"/>
    <col min="3840" max="3840" width="13.7109375" style="263" customWidth="1"/>
    <col min="3841" max="3842" width="12.28515625" style="263" customWidth="1"/>
    <col min="3843" max="3843" width="14" style="263" customWidth="1"/>
    <col min="3844" max="3844" width="10.42578125" style="263" customWidth="1"/>
    <col min="3845" max="3845" width="10.28515625" style="263" customWidth="1"/>
    <col min="3846" max="3846" width="13.42578125" style="263" customWidth="1"/>
    <col min="3847" max="3847" width="9" style="263" customWidth="1"/>
    <col min="3848" max="3849" width="11.85546875" style="263" customWidth="1"/>
    <col min="3850" max="3852" width="13.7109375" style="263" customWidth="1"/>
    <col min="3853" max="3853" width="14.28515625" style="263" customWidth="1"/>
    <col min="3854" max="3854" width="13.28515625" style="263" customWidth="1"/>
    <col min="3855" max="3855" width="14.28515625" style="263" customWidth="1"/>
    <col min="3856" max="3856" width="12.5703125" style="263" customWidth="1"/>
    <col min="3857" max="3858" width="0" style="263" hidden="1" customWidth="1"/>
    <col min="3859" max="3859" width="11.5703125" style="263" customWidth="1"/>
    <col min="3860" max="3860" width="11" style="263" customWidth="1"/>
    <col min="3861" max="3861" width="11.85546875" style="263" customWidth="1"/>
    <col min="3862" max="3862" width="9" style="263" customWidth="1"/>
    <col min="3863" max="3863" width="12.85546875" style="263" customWidth="1"/>
    <col min="3864" max="3864" width="13.7109375" style="263" customWidth="1"/>
    <col min="3865" max="3866" width="0" style="263" hidden="1" customWidth="1"/>
    <col min="3867" max="3867" width="13.5703125" style="263" customWidth="1"/>
    <col min="3868" max="3868" width="9" style="263" customWidth="1"/>
    <col min="3869" max="3869" width="13.28515625" style="263" customWidth="1"/>
    <col min="3870" max="3870" width="9" style="263" customWidth="1"/>
    <col min="3871" max="3871" width="10.85546875" style="263" customWidth="1"/>
    <col min="3872" max="3872" width="13.5703125" style="263" customWidth="1"/>
    <col min="3873" max="3873" width="9" style="263" customWidth="1"/>
    <col min="3874" max="3874" width="11.5703125" style="263" customWidth="1"/>
    <col min="3875" max="3875" width="9" style="263" customWidth="1"/>
    <col min="3876" max="3876" width="10.140625" style="263" customWidth="1"/>
    <col min="3877" max="3877" width="9" style="263" customWidth="1"/>
    <col min="3878" max="3878" width="11.42578125" style="263" customWidth="1"/>
    <col min="3879" max="3881" width="9.140625" style="263"/>
    <col min="3882" max="3882" width="12.85546875" style="263" customWidth="1"/>
    <col min="3883" max="4093" width="9.140625" style="263"/>
    <col min="4094" max="4094" width="6.140625" style="263" customWidth="1"/>
    <col min="4095" max="4095" width="27" style="263" customWidth="1"/>
    <col min="4096" max="4096" width="13.7109375" style="263" customWidth="1"/>
    <col min="4097" max="4098" width="12.28515625" style="263" customWidth="1"/>
    <col min="4099" max="4099" width="14" style="263" customWidth="1"/>
    <col min="4100" max="4100" width="10.42578125" style="263" customWidth="1"/>
    <col min="4101" max="4101" width="10.28515625" style="263" customWidth="1"/>
    <col min="4102" max="4102" width="13.42578125" style="263" customWidth="1"/>
    <col min="4103" max="4103" width="9" style="263" customWidth="1"/>
    <col min="4104" max="4105" width="11.85546875" style="263" customWidth="1"/>
    <col min="4106" max="4108" width="13.7109375" style="263" customWidth="1"/>
    <col min="4109" max="4109" width="14.28515625" style="263" customWidth="1"/>
    <col min="4110" max="4110" width="13.28515625" style="263" customWidth="1"/>
    <col min="4111" max="4111" width="14.28515625" style="263" customWidth="1"/>
    <col min="4112" max="4112" width="12.5703125" style="263" customWidth="1"/>
    <col min="4113" max="4114" width="0" style="263" hidden="1" customWidth="1"/>
    <col min="4115" max="4115" width="11.5703125" style="263" customWidth="1"/>
    <col min="4116" max="4116" width="11" style="263" customWidth="1"/>
    <col min="4117" max="4117" width="11.85546875" style="263" customWidth="1"/>
    <col min="4118" max="4118" width="9" style="263" customWidth="1"/>
    <col min="4119" max="4119" width="12.85546875" style="263" customWidth="1"/>
    <col min="4120" max="4120" width="13.7109375" style="263" customWidth="1"/>
    <col min="4121" max="4122" width="0" style="263" hidden="1" customWidth="1"/>
    <col min="4123" max="4123" width="13.5703125" style="263" customWidth="1"/>
    <col min="4124" max="4124" width="9" style="263" customWidth="1"/>
    <col min="4125" max="4125" width="13.28515625" style="263" customWidth="1"/>
    <col min="4126" max="4126" width="9" style="263" customWidth="1"/>
    <col min="4127" max="4127" width="10.85546875" style="263" customWidth="1"/>
    <col min="4128" max="4128" width="13.5703125" style="263" customWidth="1"/>
    <col min="4129" max="4129" width="9" style="263" customWidth="1"/>
    <col min="4130" max="4130" width="11.5703125" style="263" customWidth="1"/>
    <col min="4131" max="4131" width="9" style="263" customWidth="1"/>
    <col min="4132" max="4132" width="10.140625" style="263" customWidth="1"/>
    <col min="4133" max="4133" width="9" style="263" customWidth="1"/>
    <col min="4134" max="4134" width="11.42578125" style="263" customWidth="1"/>
    <col min="4135" max="4137" width="9.140625" style="263"/>
    <col min="4138" max="4138" width="12.85546875" style="263" customWidth="1"/>
    <col min="4139" max="4349" width="9.140625" style="263"/>
    <col min="4350" max="4350" width="6.140625" style="263" customWidth="1"/>
    <col min="4351" max="4351" width="27" style="263" customWidth="1"/>
    <col min="4352" max="4352" width="13.7109375" style="263" customWidth="1"/>
    <col min="4353" max="4354" width="12.28515625" style="263" customWidth="1"/>
    <col min="4355" max="4355" width="14" style="263" customWidth="1"/>
    <col min="4356" max="4356" width="10.42578125" style="263" customWidth="1"/>
    <col min="4357" max="4357" width="10.28515625" style="263" customWidth="1"/>
    <col min="4358" max="4358" width="13.42578125" style="263" customWidth="1"/>
    <col min="4359" max="4359" width="9" style="263" customWidth="1"/>
    <col min="4360" max="4361" width="11.85546875" style="263" customWidth="1"/>
    <col min="4362" max="4364" width="13.7109375" style="263" customWidth="1"/>
    <col min="4365" max="4365" width="14.28515625" style="263" customWidth="1"/>
    <col min="4366" max="4366" width="13.28515625" style="263" customWidth="1"/>
    <col min="4367" max="4367" width="14.28515625" style="263" customWidth="1"/>
    <col min="4368" max="4368" width="12.5703125" style="263" customWidth="1"/>
    <col min="4369" max="4370" width="0" style="263" hidden="1" customWidth="1"/>
    <col min="4371" max="4371" width="11.5703125" style="263" customWidth="1"/>
    <col min="4372" max="4372" width="11" style="263" customWidth="1"/>
    <col min="4373" max="4373" width="11.85546875" style="263" customWidth="1"/>
    <col min="4374" max="4374" width="9" style="263" customWidth="1"/>
    <col min="4375" max="4375" width="12.85546875" style="263" customWidth="1"/>
    <col min="4376" max="4376" width="13.7109375" style="263" customWidth="1"/>
    <col min="4377" max="4378" width="0" style="263" hidden="1" customWidth="1"/>
    <col min="4379" max="4379" width="13.5703125" style="263" customWidth="1"/>
    <col min="4380" max="4380" width="9" style="263" customWidth="1"/>
    <col min="4381" max="4381" width="13.28515625" style="263" customWidth="1"/>
    <col min="4382" max="4382" width="9" style="263" customWidth="1"/>
    <col min="4383" max="4383" width="10.85546875" style="263" customWidth="1"/>
    <col min="4384" max="4384" width="13.5703125" style="263" customWidth="1"/>
    <col min="4385" max="4385" width="9" style="263" customWidth="1"/>
    <col min="4386" max="4386" width="11.5703125" style="263" customWidth="1"/>
    <col min="4387" max="4387" width="9" style="263" customWidth="1"/>
    <col min="4388" max="4388" width="10.140625" style="263" customWidth="1"/>
    <col min="4389" max="4389" width="9" style="263" customWidth="1"/>
    <col min="4390" max="4390" width="11.42578125" style="263" customWidth="1"/>
    <col min="4391" max="4393" width="9.140625" style="263"/>
    <col min="4394" max="4394" width="12.85546875" style="263" customWidth="1"/>
    <col min="4395" max="4605" width="9.140625" style="263"/>
    <col min="4606" max="4606" width="6.140625" style="263" customWidth="1"/>
    <col min="4607" max="4607" width="27" style="263" customWidth="1"/>
    <col min="4608" max="4608" width="13.7109375" style="263" customWidth="1"/>
    <col min="4609" max="4610" width="12.28515625" style="263" customWidth="1"/>
    <col min="4611" max="4611" width="14" style="263" customWidth="1"/>
    <col min="4612" max="4612" width="10.42578125" style="263" customWidth="1"/>
    <col min="4613" max="4613" width="10.28515625" style="263" customWidth="1"/>
    <col min="4614" max="4614" width="13.42578125" style="263" customWidth="1"/>
    <col min="4615" max="4615" width="9" style="263" customWidth="1"/>
    <col min="4616" max="4617" width="11.85546875" style="263" customWidth="1"/>
    <col min="4618" max="4620" width="13.7109375" style="263" customWidth="1"/>
    <col min="4621" max="4621" width="14.28515625" style="263" customWidth="1"/>
    <col min="4622" max="4622" width="13.28515625" style="263" customWidth="1"/>
    <col min="4623" max="4623" width="14.28515625" style="263" customWidth="1"/>
    <col min="4624" max="4624" width="12.5703125" style="263" customWidth="1"/>
    <col min="4625" max="4626" width="0" style="263" hidden="1" customWidth="1"/>
    <col min="4627" max="4627" width="11.5703125" style="263" customWidth="1"/>
    <col min="4628" max="4628" width="11" style="263" customWidth="1"/>
    <col min="4629" max="4629" width="11.85546875" style="263" customWidth="1"/>
    <col min="4630" max="4630" width="9" style="263" customWidth="1"/>
    <col min="4631" max="4631" width="12.85546875" style="263" customWidth="1"/>
    <col min="4632" max="4632" width="13.7109375" style="263" customWidth="1"/>
    <col min="4633" max="4634" width="0" style="263" hidden="1" customWidth="1"/>
    <col min="4635" max="4635" width="13.5703125" style="263" customWidth="1"/>
    <col min="4636" max="4636" width="9" style="263" customWidth="1"/>
    <col min="4637" max="4637" width="13.28515625" style="263" customWidth="1"/>
    <col min="4638" max="4638" width="9" style="263" customWidth="1"/>
    <col min="4639" max="4639" width="10.85546875" style="263" customWidth="1"/>
    <col min="4640" max="4640" width="13.5703125" style="263" customWidth="1"/>
    <col min="4641" max="4641" width="9" style="263" customWidth="1"/>
    <col min="4642" max="4642" width="11.5703125" style="263" customWidth="1"/>
    <col min="4643" max="4643" width="9" style="263" customWidth="1"/>
    <col min="4644" max="4644" width="10.140625" style="263" customWidth="1"/>
    <col min="4645" max="4645" width="9" style="263" customWidth="1"/>
    <col min="4646" max="4646" width="11.42578125" style="263" customWidth="1"/>
    <col min="4647" max="4649" width="9.140625" style="263"/>
    <col min="4650" max="4650" width="12.85546875" style="263" customWidth="1"/>
    <col min="4651" max="4861" width="9.140625" style="263"/>
    <col min="4862" max="4862" width="6.140625" style="263" customWidth="1"/>
    <col min="4863" max="4863" width="27" style="263" customWidth="1"/>
    <col min="4864" max="4864" width="13.7109375" style="263" customWidth="1"/>
    <col min="4865" max="4866" width="12.28515625" style="263" customWidth="1"/>
    <col min="4867" max="4867" width="14" style="263" customWidth="1"/>
    <col min="4868" max="4868" width="10.42578125" style="263" customWidth="1"/>
    <col min="4869" max="4869" width="10.28515625" style="263" customWidth="1"/>
    <col min="4870" max="4870" width="13.42578125" style="263" customWidth="1"/>
    <col min="4871" max="4871" width="9" style="263" customWidth="1"/>
    <col min="4872" max="4873" width="11.85546875" style="263" customWidth="1"/>
    <col min="4874" max="4876" width="13.7109375" style="263" customWidth="1"/>
    <col min="4877" max="4877" width="14.28515625" style="263" customWidth="1"/>
    <col min="4878" max="4878" width="13.28515625" style="263" customWidth="1"/>
    <col min="4879" max="4879" width="14.28515625" style="263" customWidth="1"/>
    <col min="4880" max="4880" width="12.5703125" style="263" customWidth="1"/>
    <col min="4881" max="4882" width="0" style="263" hidden="1" customWidth="1"/>
    <col min="4883" max="4883" width="11.5703125" style="263" customWidth="1"/>
    <col min="4884" max="4884" width="11" style="263" customWidth="1"/>
    <col min="4885" max="4885" width="11.85546875" style="263" customWidth="1"/>
    <col min="4886" max="4886" width="9" style="263" customWidth="1"/>
    <col min="4887" max="4887" width="12.85546875" style="263" customWidth="1"/>
    <col min="4888" max="4888" width="13.7109375" style="263" customWidth="1"/>
    <col min="4889" max="4890" width="0" style="263" hidden="1" customWidth="1"/>
    <col min="4891" max="4891" width="13.5703125" style="263" customWidth="1"/>
    <col min="4892" max="4892" width="9" style="263" customWidth="1"/>
    <col min="4893" max="4893" width="13.28515625" style="263" customWidth="1"/>
    <col min="4894" max="4894" width="9" style="263" customWidth="1"/>
    <col min="4895" max="4895" width="10.85546875" style="263" customWidth="1"/>
    <col min="4896" max="4896" width="13.5703125" style="263" customWidth="1"/>
    <col min="4897" max="4897" width="9" style="263" customWidth="1"/>
    <col min="4898" max="4898" width="11.5703125" style="263" customWidth="1"/>
    <col min="4899" max="4899" width="9" style="263" customWidth="1"/>
    <col min="4900" max="4900" width="10.140625" style="263" customWidth="1"/>
    <col min="4901" max="4901" width="9" style="263" customWidth="1"/>
    <col min="4902" max="4902" width="11.42578125" style="263" customWidth="1"/>
    <col min="4903" max="4905" width="9.140625" style="263"/>
    <col min="4906" max="4906" width="12.85546875" style="263" customWidth="1"/>
    <col min="4907" max="5117" width="9.140625" style="263"/>
    <col min="5118" max="5118" width="6.140625" style="263" customWidth="1"/>
    <col min="5119" max="5119" width="27" style="263" customWidth="1"/>
    <col min="5120" max="5120" width="13.7109375" style="263" customWidth="1"/>
    <col min="5121" max="5122" width="12.28515625" style="263" customWidth="1"/>
    <col min="5123" max="5123" width="14" style="263" customWidth="1"/>
    <col min="5124" max="5124" width="10.42578125" style="263" customWidth="1"/>
    <col min="5125" max="5125" width="10.28515625" style="263" customWidth="1"/>
    <col min="5126" max="5126" width="13.42578125" style="263" customWidth="1"/>
    <col min="5127" max="5127" width="9" style="263" customWidth="1"/>
    <col min="5128" max="5129" width="11.85546875" style="263" customWidth="1"/>
    <col min="5130" max="5132" width="13.7109375" style="263" customWidth="1"/>
    <col min="5133" max="5133" width="14.28515625" style="263" customWidth="1"/>
    <col min="5134" max="5134" width="13.28515625" style="263" customWidth="1"/>
    <col min="5135" max="5135" width="14.28515625" style="263" customWidth="1"/>
    <col min="5136" max="5136" width="12.5703125" style="263" customWidth="1"/>
    <col min="5137" max="5138" width="0" style="263" hidden="1" customWidth="1"/>
    <col min="5139" max="5139" width="11.5703125" style="263" customWidth="1"/>
    <col min="5140" max="5140" width="11" style="263" customWidth="1"/>
    <col min="5141" max="5141" width="11.85546875" style="263" customWidth="1"/>
    <col min="5142" max="5142" width="9" style="263" customWidth="1"/>
    <col min="5143" max="5143" width="12.85546875" style="263" customWidth="1"/>
    <col min="5144" max="5144" width="13.7109375" style="263" customWidth="1"/>
    <col min="5145" max="5146" width="0" style="263" hidden="1" customWidth="1"/>
    <col min="5147" max="5147" width="13.5703125" style="263" customWidth="1"/>
    <col min="5148" max="5148" width="9" style="263" customWidth="1"/>
    <col min="5149" max="5149" width="13.28515625" style="263" customWidth="1"/>
    <col min="5150" max="5150" width="9" style="263" customWidth="1"/>
    <col min="5151" max="5151" width="10.85546875" style="263" customWidth="1"/>
    <col min="5152" max="5152" width="13.5703125" style="263" customWidth="1"/>
    <col min="5153" max="5153" width="9" style="263" customWidth="1"/>
    <col min="5154" max="5154" width="11.5703125" style="263" customWidth="1"/>
    <col min="5155" max="5155" width="9" style="263" customWidth="1"/>
    <col min="5156" max="5156" width="10.140625" style="263" customWidth="1"/>
    <col min="5157" max="5157" width="9" style="263" customWidth="1"/>
    <col min="5158" max="5158" width="11.42578125" style="263" customWidth="1"/>
    <col min="5159" max="5161" width="9.140625" style="263"/>
    <col min="5162" max="5162" width="12.85546875" style="263" customWidth="1"/>
    <col min="5163" max="5373" width="9.140625" style="263"/>
    <col min="5374" max="5374" width="6.140625" style="263" customWidth="1"/>
    <col min="5375" max="5375" width="27" style="263" customWidth="1"/>
    <col min="5376" max="5376" width="13.7109375" style="263" customWidth="1"/>
    <col min="5377" max="5378" width="12.28515625" style="263" customWidth="1"/>
    <col min="5379" max="5379" width="14" style="263" customWidth="1"/>
    <col min="5380" max="5380" width="10.42578125" style="263" customWidth="1"/>
    <col min="5381" max="5381" width="10.28515625" style="263" customWidth="1"/>
    <col min="5382" max="5382" width="13.42578125" style="263" customWidth="1"/>
    <col min="5383" max="5383" width="9" style="263" customWidth="1"/>
    <col min="5384" max="5385" width="11.85546875" style="263" customWidth="1"/>
    <col min="5386" max="5388" width="13.7109375" style="263" customWidth="1"/>
    <col min="5389" max="5389" width="14.28515625" style="263" customWidth="1"/>
    <col min="5390" max="5390" width="13.28515625" style="263" customWidth="1"/>
    <col min="5391" max="5391" width="14.28515625" style="263" customWidth="1"/>
    <col min="5392" max="5392" width="12.5703125" style="263" customWidth="1"/>
    <col min="5393" max="5394" width="0" style="263" hidden="1" customWidth="1"/>
    <col min="5395" max="5395" width="11.5703125" style="263" customWidth="1"/>
    <col min="5396" max="5396" width="11" style="263" customWidth="1"/>
    <col min="5397" max="5397" width="11.85546875" style="263" customWidth="1"/>
    <col min="5398" max="5398" width="9" style="263" customWidth="1"/>
    <col min="5399" max="5399" width="12.85546875" style="263" customWidth="1"/>
    <col min="5400" max="5400" width="13.7109375" style="263" customWidth="1"/>
    <col min="5401" max="5402" width="0" style="263" hidden="1" customWidth="1"/>
    <col min="5403" max="5403" width="13.5703125" style="263" customWidth="1"/>
    <col min="5404" max="5404" width="9" style="263" customWidth="1"/>
    <col min="5405" max="5405" width="13.28515625" style="263" customWidth="1"/>
    <col min="5406" max="5406" width="9" style="263" customWidth="1"/>
    <col min="5407" max="5407" width="10.85546875" style="263" customWidth="1"/>
    <col min="5408" max="5408" width="13.5703125" style="263" customWidth="1"/>
    <col min="5409" max="5409" width="9" style="263" customWidth="1"/>
    <col min="5410" max="5410" width="11.5703125" style="263" customWidth="1"/>
    <col min="5411" max="5411" width="9" style="263" customWidth="1"/>
    <col min="5412" max="5412" width="10.140625" style="263" customWidth="1"/>
    <col min="5413" max="5413" width="9" style="263" customWidth="1"/>
    <col min="5414" max="5414" width="11.42578125" style="263" customWidth="1"/>
    <col min="5415" max="5417" width="9.140625" style="263"/>
    <col min="5418" max="5418" width="12.85546875" style="263" customWidth="1"/>
    <col min="5419" max="5629" width="9.140625" style="263"/>
    <col min="5630" max="5630" width="6.140625" style="263" customWidth="1"/>
    <col min="5631" max="5631" width="27" style="263" customWidth="1"/>
    <col min="5632" max="5632" width="13.7109375" style="263" customWidth="1"/>
    <col min="5633" max="5634" width="12.28515625" style="263" customWidth="1"/>
    <col min="5635" max="5635" width="14" style="263" customWidth="1"/>
    <col min="5636" max="5636" width="10.42578125" style="263" customWidth="1"/>
    <col min="5637" max="5637" width="10.28515625" style="263" customWidth="1"/>
    <col min="5638" max="5638" width="13.42578125" style="263" customWidth="1"/>
    <col min="5639" max="5639" width="9" style="263" customWidth="1"/>
    <col min="5640" max="5641" width="11.85546875" style="263" customWidth="1"/>
    <col min="5642" max="5644" width="13.7109375" style="263" customWidth="1"/>
    <col min="5645" max="5645" width="14.28515625" style="263" customWidth="1"/>
    <col min="5646" max="5646" width="13.28515625" style="263" customWidth="1"/>
    <col min="5647" max="5647" width="14.28515625" style="263" customWidth="1"/>
    <col min="5648" max="5648" width="12.5703125" style="263" customWidth="1"/>
    <col min="5649" max="5650" width="0" style="263" hidden="1" customWidth="1"/>
    <col min="5651" max="5651" width="11.5703125" style="263" customWidth="1"/>
    <col min="5652" max="5652" width="11" style="263" customWidth="1"/>
    <col min="5653" max="5653" width="11.85546875" style="263" customWidth="1"/>
    <col min="5654" max="5654" width="9" style="263" customWidth="1"/>
    <col min="5655" max="5655" width="12.85546875" style="263" customWidth="1"/>
    <col min="5656" max="5656" width="13.7109375" style="263" customWidth="1"/>
    <col min="5657" max="5658" width="0" style="263" hidden="1" customWidth="1"/>
    <col min="5659" max="5659" width="13.5703125" style="263" customWidth="1"/>
    <col min="5660" max="5660" width="9" style="263" customWidth="1"/>
    <col min="5661" max="5661" width="13.28515625" style="263" customWidth="1"/>
    <col min="5662" max="5662" width="9" style="263" customWidth="1"/>
    <col min="5663" max="5663" width="10.85546875" style="263" customWidth="1"/>
    <col min="5664" max="5664" width="13.5703125" style="263" customWidth="1"/>
    <col min="5665" max="5665" width="9" style="263" customWidth="1"/>
    <col min="5666" max="5666" width="11.5703125" style="263" customWidth="1"/>
    <col min="5667" max="5667" width="9" style="263" customWidth="1"/>
    <col min="5668" max="5668" width="10.140625" style="263" customWidth="1"/>
    <col min="5669" max="5669" width="9" style="263" customWidth="1"/>
    <col min="5670" max="5670" width="11.42578125" style="263" customWidth="1"/>
    <col min="5671" max="5673" width="9.140625" style="263"/>
    <col min="5674" max="5674" width="12.85546875" style="263" customWidth="1"/>
    <col min="5675" max="5885" width="9.140625" style="263"/>
    <col min="5886" max="5886" width="6.140625" style="263" customWidth="1"/>
    <col min="5887" max="5887" width="27" style="263" customWidth="1"/>
    <col min="5888" max="5888" width="13.7109375" style="263" customWidth="1"/>
    <col min="5889" max="5890" width="12.28515625" style="263" customWidth="1"/>
    <col min="5891" max="5891" width="14" style="263" customWidth="1"/>
    <col min="5892" max="5892" width="10.42578125" style="263" customWidth="1"/>
    <col min="5893" max="5893" width="10.28515625" style="263" customWidth="1"/>
    <col min="5894" max="5894" width="13.42578125" style="263" customWidth="1"/>
    <col min="5895" max="5895" width="9" style="263" customWidth="1"/>
    <col min="5896" max="5897" width="11.85546875" style="263" customWidth="1"/>
    <col min="5898" max="5900" width="13.7109375" style="263" customWidth="1"/>
    <col min="5901" max="5901" width="14.28515625" style="263" customWidth="1"/>
    <col min="5902" max="5902" width="13.28515625" style="263" customWidth="1"/>
    <col min="5903" max="5903" width="14.28515625" style="263" customWidth="1"/>
    <col min="5904" max="5904" width="12.5703125" style="263" customWidth="1"/>
    <col min="5905" max="5906" width="0" style="263" hidden="1" customWidth="1"/>
    <col min="5907" max="5907" width="11.5703125" style="263" customWidth="1"/>
    <col min="5908" max="5908" width="11" style="263" customWidth="1"/>
    <col min="5909" max="5909" width="11.85546875" style="263" customWidth="1"/>
    <col min="5910" max="5910" width="9" style="263" customWidth="1"/>
    <col min="5911" max="5911" width="12.85546875" style="263" customWidth="1"/>
    <col min="5912" max="5912" width="13.7109375" style="263" customWidth="1"/>
    <col min="5913" max="5914" width="0" style="263" hidden="1" customWidth="1"/>
    <col min="5915" max="5915" width="13.5703125" style="263" customWidth="1"/>
    <col min="5916" max="5916" width="9" style="263" customWidth="1"/>
    <col min="5917" max="5917" width="13.28515625" style="263" customWidth="1"/>
    <col min="5918" max="5918" width="9" style="263" customWidth="1"/>
    <col min="5919" max="5919" width="10.85546875" style="263" customWidth="1"/>
    <col min="5920" max="5920" width="13.5703125" style="263" customWidth="1"/>
    <col min="5921" max="5921" width="9" style="263" customWidth="1"/>
    <col min="5922" max="5922" width="11.5703125" style="263" customWidth="1"/>
    <col min="5923" max="5923" width="9" style="263" customWidth="1"/>
    <col min="5924" max="5924" width="10.140625" style="263" customWidth="1"/>
    <col min="5925" max="5925" width="9" style="263" customWidth="1"/>
    <col min="5926" max="5926" width="11.42578125" style="263" customWidth="1"/>
    <col min="5927" max="5929" width="9.140625" style="263"/>
    <col min="5930" max="5930" width="12.85546875" style="263" customWidth="1"/>
    <col min="5931" max="6141" width="9.140625" style="263"/>
    <col min="6142" max="6142" width="6.140625" style="263" customWidth="1"/>
    <col min="6143" max="6143" width="27" style="263" customWidth="1"/>
    <col min="6144" max="6144" width="13.7109375" style="263" customWidth="1"/>
    <col min="6145" max="6146" width="12.28515625" style="263" customWidth="1"/>
    <col min="6147" max="6147" width="14" style="263" customWidth="1"/>
    <col min="6148" max="6148" width="10.42578125" style="263" customWidth="1"/>
    <col min="6149" max="6149" width="10.28515625" style="263" customWidth="1"/>
    <col min="6150" max="6150" width="13.42578125" style="263" customWidth="1"/>
    <col min="6151" max="6151" width="9" style="263" customWidth="1"/>
    <col min="6152" max="6153" width="11.85546875" style="263" customWidth="1"/>
    <col min="6154" max="6156" width="13.7109375" style="263" customWidth="1"/>
    <col min="6157" max="6157" width="14.28515625" style="263" customWidth="1"/>
    <col min="6158" max="6158" width="13.28515625" style="263" customWidth="1"/>
    <col min="6159" max="6159" width="14.28515625" style="263" customWidth="1"/>
    <col min="6160" max="6160" width="12.5703125" style="263" customWidth="1"/>
    <col min="6161" max="6162" width="0" style="263" hidden="1" customWidth="1"/>
    <col min="6163" max="6163" width="11.5703125" style="263" customWidth="1"/>
    <col min="6164" max="6164" width="11" style="263" customWidth="1"/>
    <col min="6165" max="6165" width="11.85546875" style="263" customWidth="1"/>
    <col min="6166" max="6166" width="9" style="263" customWidth="1"/>
    <col min="6167" max="6167" width="12.85546875" style="263" customWidth="1"/>
    <col min="6168" max="6168" width="13.7109375" style="263" customWidth="1"/>
    <col min="6169" max="6170" width="0" style="263" hidden="1" customWidth="1"/>
    <col min="6171" max="6171" width="13.5703125" style="263" customWidth="1"/>
    <col min="6172" max="6172" width="9" style="263" customWidth="1"/>
    <col min="6173" max="6173" width="13.28515625" style="263" customWidth="1"/>
    <col min="6174" max="6174" width="9" style="263" customWidth="1"/>
    <col min="6175" max="6175" width="10.85546875" style="263" customWidth="1"/>
    <col min="6176" max="6176" width="13.5703125" style="263" customWidth="1"/>
    <col min="6177" max="6177" width="9" style="263" customWidth="1"/>
    <col min="6178" max="6178" width="11.5703125" style="263" customWidth="1"/>
    <col min="6179" max="6179" width="9" style="263" customWidth="1"/>
    <col min="6180" max="6180" width="10.140625" style="263" customWidth="1"/>
    <col min="6181" max="6181" width="9" style="263" customWidth="1"/>
    <col min="6182" max="6182" width="11.42578125" style="263" customWidth="1"/>
    <col min="6183" max="6185" width="9.140625" style="263"/>
    <col min="6186" max="6186" width="12.85546875" style="263" customWidth="1"/>
    <col min="6187" max="6397" width="9.140625" style="263"/>
    <col min="6398" max="6398" width="6.140625" style="263" customWidth="1"/>
    <col min="6399" max="6399" width="27" style="263" customWidth="1"/>
    <col min="6400" max="6400" width="13.7109375" style="263" customWidth="1"/>
    <col min="6401" max="6402" width="12.28515625" style="263" customWidth="1"/>
    <col min="6403" max="6403" width="14" style="263" customWidth="1"/>
    <col min="6404" max="6404" width="10.42578125" style="263" customWidth="1"/>
    <col min="6405" max="6405" width="10.28515625" style="263" customWidth="1"/>
    <col min="6406" max="6406" width="13.42578125" style="263" customWidth="1"/>
    <col min="6407" max="6407" width="9" style="263" customWidth="1"/>
    <col min="6408" max="6409" width="11.85546875" style="263" customWidth="1"/>
    <col min="6410" max="6412" width="13.7109375" style="263" customWidth="1"/>
    <col min="6413" max="6413" width="14.28515625" style="263" customWidth="1"/>
    <col min="6414" max="6414" width="13.28515625" style="263" customWidth="1"/>
    <col min="6415" max="6415" width="14.28515625" style="263" customWidth="1"/>
    <col min="6416" max="6416" width="12.5703125" style="263" customWidth="1"/>
    <col min="6417" max="6418" width="0" style="263" hidden="1" customWidth="1"/>
    <col min="6419" max="6419" width="11.5703125" style="263" customWidth="1"/>
    <col min="6420" max="6420" width="11" style="263" customWidth="1"/>
    <col min="6421" max="6421" width="11.85546875" style="263" customWidth="1"/>
    <col min="6422" max="6422" width="9" style="263" customWidth="1"/>
    <col min="6423" max="6423" width="12.85546875" style="263" customWidth="1"/>
    <col min="6424" max="6424" width="13.7109375" style="263" customWidth="1"/>
    <col min="6425" max="6426" width="0" style="263" hidden="1" customWidth="1"/>
    <col min="6427" max="6427" width="13.5703125" style="263" customWidth="1"/>
    <col min="6428" max="6428" width="9" style="263" customWidth="1"/>
    <col min="6429" max="6429" width="13.28515625" style="263" customWidth="1"/>
    <col min="6430" max="6430" width="9" style="263" customWidth="1"/>
    <col min="6431" max="6431" width="10.85546875" style="263" customWidth="1"/>
    <col min="6432" max="6432" width="13.5703125" style="263" customWidth="1"/>
    <col min="6433" max="6433" width="9" style="263" customWidth="1"/>
    <col min="6434" max="6434" width="11.5703125" style="263" customWidth="1"/>
    <col min="6435" max="6435" width="9" style="263" customWidth="1"/>
    <col min="6436" max="6436" width="10.140625" style="263" customWidth="1"/>
    <col min="6437" max="6437" width="9" style="263" customWidth="1"/>
    <col min="6438" max="6438" width="11.42578125" style="263" customWidth="1"/>
    <col min="6439" max="6441" width="9.140625" style="263"/>
    <col min="6442" max="6442" width="12.85546875" style="263" customWidth="1"/>
    <col min="6443" max="6653" width="9.140625" style="263"/>
    <col min="6654" max="6654" width="6.140625" style="263" customWidth="1"/>
    <col min="6655" max="6655" width="27" style="263" customWidth="1"/>
    <col min="6656" max="6656" width="13.7109375" style="263" customWidth="1"/>
    <col min="6657" max="6658" width="12.28515625" style="263" customWidth="1"/>
    <col min="6659" max="6659" width="14" style="263" customWidth="1"/>
    <col min="6660" max="6660" width="10.42578125" style="263" customWidth="1"/>
    <col min="6661" max="6661" width="10.28515625" style="263" customWidth="1"/>
    <col min="6662" max="6662" width="13.42578125" style="263" customWidth="1"/>
    <col min="6663" max="6663" width="9" style="263" customWidth="1"/>
    <col min="6664" max="6665" width="11.85546875" style="263" customWidth="1"/>
    <col min="6666" max="6668" width="13.7109375" style="263" customWidth="1"/>
    <col min="6669" max="6669" width="14.28515625" style="263" customWidth="1"/>
    <col min="6670" max="6670" width="13.28515625" style="263" customWidth="1"/>
    <col min="6671" max="6671" width="14.28515625" style="263" customWidth="1"/>
    <col min="6672" max="6672" width="12.5703125" style="263" customWidth="1"/>
    <col min="6673" max="6674" width="0" style="263" hidden="1" customWidth="1"/>
    <col min="6675" max="6675" width="11.5703125" style="263" customWidth="1"/>
    <col min="6676" max="6676" width="11" style="263" customWidth="1"/>
    <col min="6677" max="6677" width="11.85546875" style="263" customWidth="1"/>
    <col min="6678" max="6678" width="9" style="263" customWidth="1"/>
    <col min="6679" max="6679" width="12.85546875" style="263" customWidth="1"/>
    <col min="6680" max="6680" width="13.7109375" style="263" customWidth="1"/>
    <col min="6681" max="6682" width="0" style="263" hidden="1" customWidth="1"/>
    <col min="6683" max="6683" width="13.5703125" style="263" customWidth="1"/>
    <col min="6684" max="6684" width="9" style="263" customWidth="1"/>
    <col min="6685" max="6685" width="13.28515625" style="263" customWidth="1"/>
    <col min="6686" max="6686" width="9" style="263" customWidth="1"/>
    <col min="6687" max="6687" width="10.85546875" style="263" customWidth="1"/>
    <col min="6688" max="6688" width="13.5703125" style="263" customWidth="1"/>
    <col min="6689" max="6689" width="9" style="263" customWidth="1"/>
    <col min="6690" max="6690" width="11.5703125" style="263" customWidth="1"/>
    <col min="6691" max="6691" width="9" style="263" customWidth="1"/>
    <col min="6692" max="6692" width="10.140625" style="263" customWidth="1"/>
    <col min="6693" max="6693" width="9" style="263" customWidth="1"/>
    <col min="6694" max="6694" width="11.42578125" style="263" customWidth="1"/>
    <col min="6695" max="6697" width="9.140625" style="263"/>
    <col min="6698" max="6698" width="12.85546875" style="263" customWidth="1"/>
    <col min="6699" max="6909" width="9.140625" style="263"/>
    <col min="6910" max="6910" width="6.140625" style="263" customWidth="1"/>
    <col min="6911" max="6911" width="27" style="263" customWidth="1"/>
    <col min="6912" max="6912" width="13.7109375" style="263" customWidth="1"/>
    <col min="6913" max="6914" width="12.28515625" style="263" customWidth="1"/>
    <col min="6915" max="6915" width="14" style="263" customWidth="1"/>
    <col min="6916" max="6916" width="10.42578125" style="263" customWidth="1"/>
    <col min="6917" max="6917" width="10.28515625" style="263" customWidth="1"/>
    <col min="6918" max="6918" width="13.42578125" style="263" customWidth="1"/>
    <col min="6919" max="6919" width="9" style="263" customWidth="1"/>
    <col min="6920" max="6921" width="11.85546875" style="263" customWidth="1"/>
    <col min="6922" max="6924" width="13.7109375" style="263" customWidth="1"/>
    <col min="6925" max="6925" width="14.28515625" style="263" customWidth="1"/>
    <col min="6926" max="6926" width="13.28515625" style="263" customWidth="1"/>
    <col min="6927" max="6927" width="14.28515625" style="263" customWidth="1"/>
    <col min="6928" max="6928" width="12.5703125" style="263" customWidth="1"/>
    <col min="6929" max="6930" width="0" style="263" hidden="1" customWidth="1"/>
    <col min="6931" max="6931" width="11.5703125" style="263" customWidth="1"/>
    <col min="6932" max="6932" width="11" style="263" customWidth="1"/>
    <col min="6933" max="6933" width="11.85546875" style="263" customWidth="1"/>
    <col min="6934" max="6934" width="9" style="263" customWidth="1"/>
    <col min="6935" max="6935" width="12.85546875" style="263" customWidth="1"/>
    <col min="6936" max="6936" width="13.7109375" style="263" customWidth="1"/>
    <col min="6937" max="6938" width="0" style="263" hidden="1" customWidth="1"/>
    <col min="6939" max="6939" width="13.5703125" style="263" customWidth="1"/>
    <col min="6940" max="6940" width="9" style="263" customWidth="1"/>
    <col min="6941" max="6941" width="13.28515625" style="263" customWidth="1"/>
    <col min="6942" max="6942" width="9" style="263" customWidth="1"/>
    <col min="6943" max="6943" width="10.85546875" style="263" customWidth="1"/>
    <col min="6944" max="6944" width="13.5703125" style="263" customWidth="1"/>
    <col min="6945" max="6945" width="9" style="263" customWidth="1"/>
    <col min="6946" max="6946" width="11.5703125" style="263" customWidth="1"/>
    <col min="6947" max="6947" width="9" style="263" customWidth="1"/>
    <col min="6948" max="6948" width="10.140625" style="263" customWidth="1"/>
    <col min="6949" max="6949" width="9" style="263" customWidth="1"/>
    <col min="6950" max="6950" width="11.42578125" style="263" customWidth="1"/>
    <col min="6951" max="6953" width="9.140625" style="263"/>
    <col min="6954" max="6954" width="12.85546875" style="263" customWidth="1"/>
    <col min="6955" max="7165" width="9.140625" style="263"/>
    <col min="7166" max="7166" width="6.140625" style="263" customWidth="1"/>
    <col min="7167" max="7167" width="27" style="263" customWidth="1"/>
    <col min="7168" max="7168" width="13.7109375" style="263" customWidth="1"/>
    <col min="7169" max="7170" width="12.28515625" style="263" customWidth="1"/>
    <col min="7171" max="7171" width="14" style="263" customWidth="1"/>
    <col min="7172" max="7172" width="10.42578125" style="263" customWidth="1"/>
    <col min="7173" max="7173" width="10.28515625" style="263" customWidth="1"/>
    <col min="7174" max="7174" width="13.42578125" style="263" customWidth="1"/>
    <col min="7175" max="7175" width="9" style="263" customWidth="1"/>
    <col min="7176" max="7177" width="11.85546875" style="263" customWidth="1"/>
    <col min="7178" max="7180" width="13.7109375" style="263" customWidth="1"/>
    <col min="7181" max="7181" width="14.28515625" style="263" customWidth="1"/>
    <col min="7182" max="7182" width="13.28515625" style="263" customWidth="1"/>
    <col min="7183" max="7183" width="14.28515625" style="263" customWidth="1"/>
    <col min="7184" max="7184" width="12.5703125" style="263" customWidth="1"/>
    <col min="7185" max="7186" width="0" style="263" hidden="1" customWidth="1"/>
    <col min="7187" max="7187" width="11.5703125" style="263" customWidth="1"/>
    <col min="7188" max="7188" width="11" style="263" customWidth="1"/>
    <col min="7189" max="7189" width="11.85546875" style="263" customWidth="1"/>
    <col min="7190" max="7190" width="9" style="263" customWidth="1"/>
    <col min="7191" max="7191" width="12.85546875" style="263" customWidth="1"/>
    <col min="7192" max="7192" width="13.7109375" style="263" customWidth="1"/>
    <col min="7193" max="7194" width="0" style="263" hidden="1" customWidth="1"/>
    <col min="7195" max="7195" width="13.5703125" style="263" customWidth="1"/>
    <col min="7196" max="7196" width="9" style="263" customWidth="1"/>
    <col min="7197" max="7197" width="13.28515625" style="263" customWidth="1"/>
    <col min="7198" max="7198" width="9" style="263" customWidth="1"/>
    <col min="7199" max="7199" width="10.85546875" style="263" customWidth="1"/>
    <col min="7200" max="7200" width="13.5703125" style="263" customWidth="1"/>
    <col min="7201" max="7201" width="9" style="263" customWidth="1"/>
    <col min="7202" max="7202" width="11.5703125" style="263" customWidth="1"/>
    <col min="7203" max="7203" width="9" style="263" customWidth="1"/>
    <col min="7204" max="7204" width="10.140625" style="263" customWidth="1"/>
    <col min="7205" max="7205" width="9" style="263" customWidth="1"/>
    <col min="7206" max="7206" width="11.42578125" style="263" customWidth="1"/>
    <col min="7207" max="7209" width="9.140625" style="263"/>
    <col min="7210" max="7210" width="12.85546875" style="263" customWidth="1"/>
    <col min="7211" max="7421" width="9.140625" style="263"/>
    <col min="7422" max="7422" width="6.140625" style="263" customWidth="1"/>
    <col min="7423" max="7423" width="27" style="263" customWidth="1"/>
    <col min="7424" max="7424" width="13.7109375" style="263" customWidth="1"/>
    <col min="7425" max="7426" width="12.28515625" style="263" customWidth="1"/>
    <col min="7427" max="7427" width="14" style="263" customWidth="1"/>
    <col min="7428" max="7428" width="10.42578125" style="263" customWidth="1"/>
    <col min="7429" max="7429" width="10.28515625" style="263" customWidth="1"/>
    <col min="7430" max="7430" width="13.42578125" style="263" customWidth="1"/>
    <col min="7431" max="7431" width="9" style="263" customWidth="1"/>
    <col min="7432" max="7433" width="11.85546875" style="263" customWidth="1"/>
    <col min="7434" max="7436" width="13.7109375" style="263" customWidth="1"/>
    <col min="7437" max="7437" width="14.28515625" style="263" customWidth="1"/>
    <col min="7438" max="7438" width="13.28515625" style="263" customWidth="1"/>
    <col min="7439" max="7439" width="14.28515625" style="263" customWidth="1"/>
    <col min="7440" max="7440" width="12.5703125" style="263" customWidth="1"/>
    <col min="7441" max="7442" width="0" style="263" hidden="1" customWidth="1"/>
    <col min="7443" max="7443" width="11.5703125" style="263" customWidth="1"/>
    <col min="7444" max="7444" width="11" style="263" customWidth="1"/>
    <col min="7445" max="7445" width="11.85546875" style="263" customWidth="1"/>
    <col min="7446" max="7446" width="9" style="263" customWidth="1"/>
    <col min="7447" max="7447" width="12.85546875" style="263" customWidth="1"/>
    <col min="7448" max="7448" width="13.7109375" style="263" customWidth="1"/>
    <col min="7449" max="7450" width="0" style="263" hidden="1" customWidth="1"/>
    <col min="7451" max="7451" width="13.5703125" style="263" customWidth="1"/>
    <col min="7452" max="7452" width="9" style="263" customWidth="1"/>
    <col min="7453" max="7453" width="13.28515625" style="263" customWidth="1"/>
    <col min="7454" max="7454" width="9" style="263" customWidth="1"/>
    <col min="7455" max="7455" width="10.85546875" style="263" customWidth="1"/>
    <col min="7456" max="7456" width="13.5703125" style="263" customWidth="1"/>
    <col min="7457" max="7457" width="9" style="263" customWidth="1"/>
    <col min="7458" max="7458" width="11.5703125" style="263" customWidth="1"/>
    <col min="7459" max="7459" width="9" style="263" customWidth="1"/>
    <col min="7460" max="7460" width="10.140625" style="263" customWidth="1"/>
    <col min="7461" max="7461" width="9" style="263" customWidth="1"/>
    <col min="7462" max="7462" width="11.42578125" style="263" customWidth="1"/>
    <col min="7463" max="7465" width="9.140625" style="263"/>
    <col min="7466" max="7466" width="12.85546875" style="263" customWidth="1"/>
    <col min="7467" max="7677" width="9.140625" style="263"/>
    <col min="7678" max="7678" width="6.140625" style="263" customWidth="1"/>
    <col min="7679" max="7679" width="27" style="263" customWidth="1"/>
    <col min="7680" max="7680" width="13.7109375" style="263" customWidth="1"/>
    <col min="7681" max="7682" width="12.28515625" style="263" customWidth="1"/>
    <col min="7683" max="7683" width="14" style="263" customWidth="1"/>
    <col min="7684" max="7684" width="10.42578125" style="263" customWidth="1"/>
    <col min="7685" max="7685" width="10.28515625" style="263" customWidth="1"/>
    <col min="7686" max="7686" width="13.42578125" style="263" customWidth="1"/>
    <col min="7687" max="7687" width="9" style="263" customWidth="1"/>
    <col min="7688" max="7689" width="11.85546875" style="263" customWidth="1"/>
    <col min="7690" max="7692" width="13.7109375" style="263" customWidth="1"/>
    <col min="7693" max="7693" width="14.28515625" style="263" customWidth="1"/>
    <col min="7694" max="7694" width="13.28515625" style="263" customWidth="1"/>
    <col min="7695" max="7695" width="14.28515625" style="263" customWidth="1"/>
    <col min="7696" max="7696" width="12.5703125" style="263" customWidth="1"/>
    <col min="7697" max="7698" width="0" style="263" hidden="1" customWidth="1"/>
    <col min="7699" max="7699" width="11.5703125" style="263" customWidth="1"/>
    <col min="7700" max="7700" width="11" style="263" customWidth="1"/>
    <col min="7701" max="7701" width="11.85546875" style="263" customWidth="1"/>
    <col min="7702" max="7702" width="9" style="263" customWidth="1"/>
    <col min="7703" max="7703" width="12.85546875" style="263" customWidth="1"/>
    <col min="7704" max="7704" width="13.7109375" style="263" customWidth="1"/>
    <col min="7705" max="7706" width="0" style="263" hidden="1" customWidth="1"/>
    <col min="7707" max="7707" width="13.5703125" style="263" customWidth="1"/>
    <col min="7708" max="7708" width="9" style="263" customWidth="1"/>
    <col min="7709" max="7709" width="13.28515625" style="263" customWidth="1"/>
    <col min="7710" max="7710" width="9" style="263" customWidth="1"/>
    <col min="7711" max="7711" width="10.85546875" style="263" customWidth="1"/>
    <col min="7712" max="7712" width="13.5703125" style="263" customWidth="1"/>
    <col min="7713" max="7713" width="9" style="263" customWidth="1"/>
    <col min="7714" max="7714" width="11.5703125" style="263" customWidth="1"/>
    <col min="7715" max="7715" width="9" style="263" customWidth="1"/>
    <col min="7716" max="7716" width="10.140625" style="263" customWidth="1"/>
    <col min="7717" max="7717" width="9" style="263" customWidth="1"/>
    <col min="7718" max="7718" width="11.42578125" style="263" customWidth="1"/>
    <col min="7719" max="7721" width="9.140625" style="263"/>
    <col min="7722" max="7722" width="12.85546875" style="263" customWidth="1"/>
    <col min="7723" max="7933" width="9.140625" style="263"/>
    <col min="7934" max="7934" width="6.140625" style="263" customWidth="1"/>
    <col min="7935" max="7935" width="27" style="263" customWidth="1"/>
    <col min="7936" max="7936" width="13.7109375" style="263" customWidth="1"/>
    <col min="7937" max="7938" width="12.28515625" style="263" customWidth="1"/>
    <col min="7939" max="7939" width="14" style="263" customWidth="1"/>
    <col min="7940" max="7940" width="10.42578125" style="263" customWidth="1"/>
    <col min="7941" max="7941" width="10.28515625" style="263" customWidth="1"/>
    <col min="7942" max="7942" width="13.42578125" style="263" customWidth="1"/>
    <col min="7943" max="7943" width="9" style="263" customWidth="1"/>
    <col min="7944" max="7945" width="11.85546875" style="263" customWidth="1"/>
    <col min="7946" max="7948" width="13.7109375" style="263" customWidth="1"/>
    <col min="7949" max="7949" width="14.28515625" style="263" customWidth="1"/>
    <col min="7950" max="7950" width="13.28515625" style="263" customWidth="1"/>
    <col min="7951" max="7951" width="14.28515625" style="263" customWidth="1"/>
    <col min="7952" max="7952" width="12.5703125" style="263" customWidth="1"/>
    <col min="7953" max="7954" width="0" style="263" hidden="1" customWidth="1"/>
    <col min="7955" max="7955" width="11.5703125" style="263" customWidth="1"/>
    <col min="7956" max="7956" width="11" style="263" customWidth="1"/>
    <col min="7957" max="7957" width="11.85546875" style="263" customWidth="1"/>
    <col min="7958" max="7958" width="9" style="263" customWidth="1"/>
    <col min="7959" max="7959" width="12.85546875" style="263" customWidth="1"/>
    <col min="7960" max="7960" width="13.7109375" style="263" customWidth="1"/>
    <col min="7961" max="7962" width="0" style="263" hidden="1" customWidth="1"/>
    <col min="7963" max="7963" width="13.5703125" style="263" customWidth="1"/>
    <col min="7964" max="7964" width="9" style="263" customWidth="1"/>
    <col min="7965" max="7965" width="13.28515625" style="263" customWidth="1"/>
    <col min="7966" max="7966" width="9" style="263" customWidth="1"/>
    <col min="7967" max="7967" width="10.85546875" style="263" customWidth="1"/>
    <col min="7968" max="7968" width="13.5703125" style="263" customWidth="1"/>
    <col min="7969" max="7969" width="9" style="263" customWidth="1"/>
    <col min="7970" max="7970" width="11.5703125" style="263" customWidth="1"/>
    <col min="7971" max="7971" width="9" style="263" customWidth="1"/>
    <col min="7972" max="7972" width="10.140625" style="263" customWidth="1"/>
    <col min="7973" max="7973" width="9" style="263" customWidth="1"/>
    <col min="7974" max="7974" width="11.42578125" style="263" customWidth="1"/>
    <col min="7975" max="7977" width="9.140625" style="263"/>
    <col min="7978" max="7978" width="12.85546875" style="263" customWidth="1"/>
    <col min="7979" max="8189" width="9.140625" style="263"/>
    <col min="8190" max="8190" width="6.140625" style="263" customWidth="1"/>
    <col min="8191" max="8191" width="27" style="263" customWidth="1"/>
    <col min="8192" max="8192" width="13.7109375" style="263" customWidth="1"/>
    <col min="8193" max="8194" width="12.28515625" style="263" customWidth="1"/>
    <col min="8195" max="8195" width="14" style="263" customWidth="1"/>
    <col min="8196" max="8196" width="10.42578125" style="263" customWidth="1"/>
    <col min="8197" max="8197" width="10.28515625" style="263" customWidth="1"/>
    <col min="8198" max="8198" width="13.42578125" style="263" customWidth="1"/>
    <col min="8199" max="8199" width="9" style="263" customWidth="1"/>
    <col min="8200" max="8201" width="11.85546875" style="263" customWidth="1"/>
    <col min="8202" max="8204" width="13.7109375" style="263" customWidth="1"/>
    <col min="8205" max="8205" width="14.28515625" style="263" customWidth="1"/>
    <col min="8206" max="8206" width="13.28515625" style="263" customWidth="1"/>
    <col min="8207" max="8207" width="14.28515625" style="263" customWidth="1"/>
    <col min="8208" max="8208" width="12.5703125" style="263" customWidth="1"/>
    <col min="8209" max="8210" width="0" style="263" hidden="1" customWidth="1"/>
    <col min="8211" max="8211" width="11.5703125" style="263" customWidth="1"/>
    <col min="8212" max="8212" width="11" style="263" customWidth="1"/>
    <col min="8213" max="8213" width="11.85546875" style="263" customWidth="1"/>
    <col min="8214" max="8214" width="9" style="263" customWidth="1"/>
    <col min="8215" max="8215" width="12.85546875" style="263" customWidth="1"/>
    <col min="8216" max="8216" width="13.7109375" style="263" customWidth="1"/>
    <col min="8217" max="8218" width="0" style="263" hidden="1" customWidth="1"/>
    <col min="8219" max="8219" width="13.5703125" style="263" customWidth="1"/>
    <col min="8220" max="8220" width="9" style="263" customWidth="1"/>
    <col min="8221" max="8221" width="13.28515625" style="263" customWidth="1"/>
    <col min="8222" max="8222" width="9" style="263" customWidth="1"/>
    <col min="8223" max="8223" width="10.85546875" style="263" customWidth="1"/>
    <col min="8224" max="8224" width="13.5703125" style="263" customWidth="1"/>
    <col min="8225" max="8225" width="9" style="263" customWidth="1"/>
    <col min="8226" max="8226" width="11.5703125" style="263" customWidth="1"/>
    <col min="8227" max="8227" width="9" style="263" customWidth="1"/>
    <col min="8228" max="8228" width="10.140625" style="263" customWidth="1"/>
    <col min="8229" max="8229" width="9" style="263" customWidth="1"/>
    <col min="8230" max="8230" width="11.42578125" style="263" customWidth="1"/>
    <col min="8231" max="8233" width="9.140625" style="263"/>
    <col min="8234" max="8234" width="12.85546875" style="263" customWidth="1"/>
    <col min="8235" max="8445" width="9.140625" style="263"/>
    <col min="8446" max="8446" width="6.140625" style="263" customWidth="1"/>
    <col min="8447" max="8447" width="27" style="263" customWidth="1"/>
    <col min="8448" max="8448" width="13.7109375" style="263" customWidth="1"/>
    <col min="8449" max="8450" width="12.28515625" style="263" customWidth="1"/>
    <col min="8451" max="8451" width="14" style="263" customWidth="1"/>
    <col min="8452" max="8452" width="10.42578125" style="263" customWidth="1"/>
    <col min="8453" max="8453" width="10.28515625" style="263" customWidth="1"/>
    <col min="8454" max="8454" width="13.42578125" style="263" customWidth="1"/>
    <col min="8455" max="8455" width="9" style="263" customWidth="1"/>
    <col min="8456" max="8457" width="11.85546875" style="263" customWidth="1"/>
    <col min="8458" max="8460" width="13.7109375" style="263" customWidth="1"/>
    <col min="8461" max="8461" width="14.28515625" style="263" customWidth="1"/>
    <col min="8462" max="8462" width="13.28515625" style="263" customWidth="1"/>
    <col min="8463" max="8463" width="14.28515625" style="263" customWidth="1"/>
    <col min="8464" max="8464" width="12.5703125" style="263" customWidth="1"/>
    <col min="8465" max="8466" width="0" style="263" hidden="1" customWidth="1"/>
    <col min="8467" max="8467" width="11.5703125" style="263" customWidth="1"/>
    <col min="8468" max="8468" width="11" style="263" customWidth="1"/>
    <col min="8469" max="8469" width="11.85546875" style="263" customWidth="1"/>
    <col min="8470" max="8470" width="9" style="263" customWidth="1"/>
    <col min="8471" max="8471" width="12.85546875" style="263" customWidth="1"/>
    <col min="8472" max="8472" width="13.7109375" style="263" customWidth="1"/>
    <col min="8473" max="8474" width="0" style="263" hidden="1" customWidth="1"/>
    <col min="8475" max="8475" width="13.5703125" style="263" customWidth="1"/>
    <col min="8476" max="8476" width="9" style="263" customWidth="1"/>
    <col min="8477" max="8477" width="13.28515625" style="263" customWidth="1"/>
    <col min="8478" max="8478" width="9" style="263" customWidth="1"/>
    <col min="8479" max="8479" width="10.85546875" style="263" customWidth="1"/>
    <col min="8480" max="8480" width="13.5703125" style="263" customWidth="1"/>
    <col min="8481" max="8481" width="9" style="263" customWidth="1"/>
    <col min="8482" max="8482" width="11.5703125" style="263" customWidth="1"/>
    <col min="8483" max="8483" width="9" style="263" customWidth="1"/>
    <col min="8484" max="8484" width="10.140625" style="263" customWidth="1"/>
    <col min="8485" max="8485" width="9" style="263" customWidth="1"/>
    <col min="8486" max="8486" width="11.42578125" style="263" customWidth="1"/>
    <col min="8487" max="8489" width="9.140625" style="263"/>
    <col min="8490" max="8490" width="12.85546875" style="263" customWidth="1"/>
    <col min="8491" max="8701" width="9.140625" style="263"/>
    <col min="8702" max="8702" width="6.140625" style="263" customWidth="1"/>
    <col min="8703" max="8703" width="27" style="263" customWidth="1"/>
    <col min="8704" max="8704" width="13.7109375" style="263" customWidth="1"/>
    <col min="8705" max="8706" width="12.28515625" style="263" customWidth="1"/>
    <col min="8707" max="8707" width="14" style="263" customWidth="1"/>
    <col min="8708" max="8708" width="10.42578125" style="263" customWidth="1"/>
    <col min="8709" max="8709" width="10.28515625" style="263" customWidth="1"/>
    <col min="8710" max="8710" width="13.42578125" style="263" customWidth="1"/>
    <col min="8711" max="8711" width="9" style="263" customWidth="1"/>
    <col min="8712" max="8713" width="11.85546875" style="263" customWidth="1"/>
    <col min="8714" max="8716" width="13.7109375" style="263" customWidth="1"/>
    <col min="8717" max="8717" width="14.28515625" style="263" customWidth="1"/>
    <col min="8718" max="8718" width="13.28515625" style="263" customWidth="1"/>
    <col min="8719" max="8719" width="14.28515625" style="263" customWidth="1"/>
    <col min="8720" max="8720" width="12.5703125" style="263" customWidth="1"/>
    <col min="8721" max="8722" width="0" style="263" hidden="1" customWidth="1"/>
    <col min="8723" max="8723" width="11.5703125" style="263" customWidth="1"/>
    <col min="8724" max="8724" width="11" style="263" customWidth="1"/>
    <col min="8725" max="8725" width="11.85546875" style="263" customWidth="1"/>
    <col min="8726" max="8726" width="9" style="263" customWidth="1"/>
    <col min="8727" max="8727" width="12.85546875" style="263" customWidth="1"/>
    <col min="8728" max="8728" width="13.7109375" style="263" customWidth="1"/>
    <col min="8729" max="8730" width="0" style="263" hidden="1" customWidth="1"/>
    <col min="8731" max="8731" width="13.5703125" style="263" customWidth="1"/>
    <col min="8732" max="8732" width="9" style="263" customWidth="1"/>
    <col min="8733" max="8733" width="13.28515625" style="263" customWidth="1"/>
    <col min="8734" max="8734" width="9" style="263" customWidth="1"/>
    <col min="8735" max="8735" width="10.85546875" style="263" customWidth="1"/>
    <col min="8736" max="8736" width="13.5703125" style="263" customWidth="1"/>
    <col min="8737" max="8737" width="9" style="263" customWidth="1"/>
    <col min="8738" max="8738" width="11.5703125" style="263" customWidth="1"/>
    <col min="8739" max="8739" width="9" style="263" customWidth="1"/>
    <col min="8740" max="8740" width="10.140625" style="263" customWidth="1"/>
    <col min="8741" max="8741" width="9" style="263" customWidth="1"/>
    <col min="8742" max="8742" width="11.42578125" style="263" customWidth="1"/>
    <col min="8743" max="8745" width="9.140625" style="263"/>
    <col min="8746" max="8746" width="12.85546875" style="263" customWidth="1"/>
    <col min="8747" max="8957" width="9.140625" style="263"/>
    <col min="8958" max="8958" width="6.140625" style="263" customWidth="1"/>
    <col min="8959" max="8959" width="27" style="263" customWidth="1"/>
    <col min="8960" max="8960" width="13.7109375" style="263" customWidth="1"/>
    <col min="8961" max="8962" width="12.28515625" style="263" customWidth="1"/>
    <col min="8963" max="8963" width="14" style="263" customWidth="1"/>
    <col min="8964" max="8964" width="10.42578125" style="263" customWidth="1"/>
    <col min="8965" max="8965" width="10.28515625" style="263" customWidth="1"/>
    <col min="8966" max="8966" width="13.42578125" style="263" customWidth="1"/>
    <col min="8967" max="8967" width="9" style="263" customWidth="1"/>
    <col min="8968" max="8969" width="11.85546875" style="263" customWidth="1"/>
    <col min="8970" max="8972" width="13.7109375" style="263" customWidth="1"/>
    <col min="8973" max="8973" width="14.28515625" style="263" customWidth="1"/>
    <col min="8974" max="8974" width="13.28515625" style="263" customWidth="1"/>
    <col min="8975" max="8975" width="14.28515625" style="263" customWidth="1"/>
    <col min="8976" max="8976" width="12.5703125" style="263" customWidth="1"/>
    <col min="8977" max="8978" width="0" style="263" hidden="1" customWidth="1"/>
    <col min="8979" max="8979" width="11.5703125" style="263" customWidth="1"/>
    <col min="8980" max="8980" width="11" style="263" customWidth="1"/>
    <col min="8981" max="8981" width="11.85546875" style="263" customWidth="1"/>
    <col min="8982" max="8982" width="9" style="263" customWidth="1"/>
    <col min="8983" max="8983" width="12.85546875" style="263" customWidth="1"/>
    <col min="8984" max="8984" width="13.7109375" style="263" customWidth="1"/>
    <col min="8985" max="8986" width="0" style="263" hidden="1" customWidth="1"/>
    <col min="8987" max="8987" width="13.5703125" style="263" customWidth="1"/>
    <col min="8988" max="8988" width="9" style="263" customWidth="1"/>
    <col min="8989" max="8989" width="13.28515625" style="263" customWidth="1"/>
    <col min="8990" max="8990" width="9" style="263" customWidth="1"/>
    <col min="8991" max="8991" width="10.85546875" style="263" customWidth="1"/>
    <col min="8992" max="8992" width="13.5703125" style="263" customWidth="1"/>
    <col min="8993" max="8993" width="9" style="263" customWidth="1"/>
    <col min="8994" max="8994" width="11.5703125" style="263" customWidth="1"/>
    <col min="8995" max="8995" width="9" style="263" customWidth="1"/>
    <col min="8996" max="8996" width="10.140625" style="263" customWidth="1"/>
    <col min="8997" max="8997" width="9" style="263" customWidth="1"/>
    <col min="8998" max="8998" width="11.42578125" style="263" customWidth="1"/>
    <col min="8999" max="9001" width="9.140625" style="263"/>
    <col min="9002" max="9002" width="12.85546875" style="263" customWidth="1"/>
    <col min="9003" max="9213" width="9.140625" style="263"/>
    <col min="9214" max="9214" width="6.140625" style="263" customWidth="1"/>
    <col min="9215" max="9215" width="27" style="263" customWidth="1"/>
    <col min="9216" max="9216" width="13.7109375" style="263" customWidth="1"/>
    <col min="9217" max="9218" width="12.28515625" style="263" customWidth="1"/>
    <col min="9219" max="9219" width="14" style="263" customWidth="1"/>
    <col min="9220" max="9220" width="10.42578125" style="263" customWidth="1"/>
    <col min="9221" max="9221" width="10.28515625" style="263" customWidth="1"/>
    <col min="9222" max="9222" width="13.42578125" style="263" customWidth="1"/>
    <col min="9223" max="9223" width="9" style="263" customWidth="1"/>
    <col min="9224" max="9225" width="11.85546875" style="263" customWidth="1"/>
    <col min="9226" max="9228" width="13.7109375" style="263" customWidth="1"/>
    <col min="9229" max="9229" width="14.28515625" style="263" customWidth="1"/>
    <col min="9230" max="9230" width="13.28515625" style="263" customWidth="1"/>
    <col min="9231" max="9231" width="14.28515625" style="263" customWidth="1"/>
    <col min="9232" max="9232" width="12.5703125" style="263" customWidth="1"/>
    <col min="9233" max="9234" width="0" style="263" hidden="1" customWidth="1"/>
    <col min="9235" max="9235" width="11.5703125" style="263" customWidth="1"/>
    <col min="9236" max="9236" width="11" style="263" customWidth="1"/>
    <col min="9237" max="9237" width="11.85546875" style="263" customWidth="1"/>
    <col min="9238" max="9238" width="9" style="263" customWidth="1"/>
    <col min="9239" max="9239" width="12.85546875" style="263" customWidth="1"/>
    <col min="9240" max="9240" width="13.7109375" style="263" customWidth="1"/>
    <col min="9241" max="9242" width="0" style="263" hidden="1" customWidth="1"/>
    <col min="9243" max="9243" width="13.5703125" style="263" customWidth="1"/>
    <col min="9244" max="9244" width="9" style="263" customWidth="1"/>
    <col min="9245" max="9245" width="13.28515625" style="263" customWidth="1"/>
    <col min="9246" max="9246" width="9" style="263" customWidth="1"/>
    <col min="9247" max="9247" width="10.85546875" style="263" customWidth="1"/>
    <col min="9248" max="9248" width="13.5703125" style="263" customWidth="1"/>
    <col min="9249" max="9249" width="9" style="263" customWidth="1"/>
    <col min="9250" max="9250" width="11.5703125" style="263" customWidth="1"/>
    <col min="9251" max="9251" width="9" style="263" customWidth="1"/>
    <col min="9252" max="9252" width="10.140625" style="263" customWidth="1"/>
    <col min="9253" max="9253" width="9" style="263" customWidth="1"/>
    <col min="9254" max="9254" width="11.42578125" style="263" customWidth="1"/>
    <col min="9255" max="9257" width="9.140625" style="263"/>
    <col min="9258" max="9258" width="12.85546875" style="263" customWidth="1"/>
    <col min="9259" max="9469" width="9.140625" style="263"/>
    <col min="9470" max="9470" width="6.140625" style="263" customWidth="1"/>
    <col min="9471" max="9471" width="27" style="263" customWidth="1"/>
    <col min="9472" max="9472" width="13.7109375" style="263" customWidth="1"/>
    <col min="9473" max="9474" width="12.28515625" style="263" customWidth="1"/>
    <col min="9475" max="9475" width="14" style="263" customWidth="1"/>
    <col min="9476" max="9476" width="10.42578125" style="263" customWidth="1"/>
    <col min="9477" max="9477" width="10.28515625" style="263" customWidth="1"/>
    <col min="9478" max="9478" width="13.42578125" style="263" customWidth="1"/>
    <col min="9479" max="9479" width="9" style="263" customWidth="1"/>
    <col min="9480" max="9481" width="11.85546875" style="263" customWidth="1"/>
    <col min="9482" max="9484" width="13.7109375" style="263" customWidth="1"/>
    <col min="9485" max="9485" width="14.28515625" style="263" customWidth="1"/>
    <col min="9486" max="9486" width="13.28515625" style="263" customWidth="1"/>
    <col min="9487" max="9487" width="14.28515625" style="263" customWidth="1"/>
    <col min="9488" max="9488" width="12.5703125" style="263" customWidth="1"/>
    <col min="9489" max="9490" width="0" style="263" hidden="1" customWidth="1"/>
    <col min="9491" max="9491" width="11.5703125" style="263" customWidth="1"/>
    <col min="9492" max="9492" width="11" style="263" customWidth="1"/>
    <col min="9493" max="9493" width="11.85546875" style="263" customWidth="1"/>
    <col min="9494" max="9494" width="9" style="263" customWidth="1"/>
    <col min="9495" max="9495" width="12.85546875" style="263" customWidth="1"/>
    <col min="9496" max="9496" width="13.7109375" style="263" customWidth="1"/>
    <col min="9497" max="9498" width="0" style="263" hidden="1" customWidth="1"/>
    <col min="9499" max="9499" width="13.5703125" style="263" customWidth="1"/>
    <col min="9500" max="9500" width="9" style="263" customWidth="1"/>
    <col min="9501" max="9501" width="13.28515625" style="263" customWidth="1"/>
    <col min="9502" max="9502" width="9" style="263" customWidth="1"/>
    <col min="9503" max="9503" width="10.85546875" style="263" customWidth="1"/>
    <col min="9504" max="9504" width="13.5703125" style="263" customWidth="1"/>
    <col min="9505" max="9505" width="9" style="263" customWidth="1"/>
    <col min="9506" max="9506" width="11.5703125" style="263" customWidth="1"/>
    <col min="9507" max="9507" width="9" style="263" customWidth="1"/>
    <col min="9508" max="9508" width="10.140625" style="263" customWidth="1"/>
    <col min="9509" max="9509" width="9" style="263" customWidth="1"/>
    <col min="9510" max="9510" width="11.42578125" style="263" customWidth="1"/>
    <col min="9511" max="9513" width="9.140625" style="263"/>
    <col min="9514" max="9514" width="12.85546875" style="263" customWidth="1"/>
    <col min="9515" max="9725" width="9.140625" style="263"/>
    <col min="9726" max="9726" width="6.140625" style="263" customWidth="1"/>
    <col min="9727" max="9727" width="27" style="263" customWidth="1"/>
    <col min="9728" max="9728" width="13.7109375" style="263" customWidth="1"/>
    <col min="9729" max="9730" width="12.28515625" style="263" customWidth="1"/>
    <col min="9731" max="9731" width="14" style="263" customWidth="1"/>
    <col min="9732" max="9732" width="10.42578125" style="263" customWidth="1"/>
    <col min="9733" max="9733" width="10.28515625" style="263" customWidth="1"/>
    <col min="9734" max="9734" width="13.42578125" style="263" customWidth="1"/>
    <col min="9735" max="9735" width="9" style="263" customWidth="1"/>
    <col min="9736" max="9737" width="11.85546875" style="263" customWidth="1"/>
    <col min="9738" max="9740" width="13.7109375" style="263" customWidth="1"/>
    <col min="9741" max="9741" width="14.28515625" style="263" customWidth="1"/>
    <col min="9742" max="9742" width="13.28515625" style="263" customWidth="1"/>
    <col min="9743" max="9743" width="14.28515625" style="263" customWidth="1"/>
    <col min="9744" max="9744" width="12.5703125" style="263" customWidth="1"/>
    <col min="9745" max="9746" width="0" style="263" hidden="1" customWidth="1"/>
    <col min="9747" max="9747" width="11.5703125" style="263" customWidth="1"/>
    <col min="9748" max="9748" width="11" style="263" customWidth="1"/>
    <col min="9749" max="9749" width="11.85546875" style="263" customWidth="1"/>
    <col min="9750" max="9750" width="9" style="263" customWidth="1"/>
    <col min="9751" max="9751" width="12.85546875" style="263" customWidth="1"/>
    <col min="9752" max="9752" width="13.7109375" style="263" customWidth="1"/>
    <col min="9753" max="9754" width="0" style="263" hidden="1" customWidth="1"/>
    <col min="9755" max="9755" width="13.5703125" style="263" customWidth="1"/>
    <col min="9756" max="9756" width="9" style="263" customWidth="1"/>
    <col min="9757" max="9757" width="13.28515625" style="263" customWidth="1"/>
    <col min="9758" max="9758" width="9" style="263" customWidth="1"/>
    <col min="9759" max="9759" width="10.85546875" style="263" customWidth="1"/>
    <col min="9760" max="9760" width="13.5703125" style="263" customWidth="1"/>
    <col min="9761" max="9761" width="9" style="263" customWidth="1"/>
    <col min="9762" max="9762" width="11.5703125" style="263" customWidth="1"/>
    <col min="9763" max="9763" width="9" style="263" customWidth="1"/>
    <col min="9764" max="9764" width="10.140625" style="263" customWidth="1"/>
    <col min="9765" max="9765" width="9" style="263" customWidth="1"/>
    <col min="9766" max="9766" width="11.42578125" style="263" customWidth="1"/>
    <col min="9767" max="9769" width="9.140625" style="263"/>
    <col min="9770" max="9770" width="12.85546875" style="263" customWidth="1"/>
    <col min="9771" max="9981" width="9.140625" style="263"/>
    <col min="9982" max="9982" width="6.140625" style="263" customWidth="1"/>
    <col min="9983" max="9983" width="27" style="263" customWidth="1"/>
    <col min="9984" max="9984" width="13.7109375" style="263" customWidth="1"/>
    <col min="9985" max="9986" width="12.28515625" style="263" customWidth="1"/>
    <col min="9987" max="9987" width="14" style="263" customWidth="1"/>
    <col min="9988" max="9988" width="10.42578125" style="263" customWidth="1"/>
    <col min="9989" max="9989" width="10.28515625" style="263" customWidth="1"/>
    <col min="9990" max="9990" width="13.42578125" style="263" customWidth="1"/>
    <col min="9991" max="9991" width="9" style="263" customWidth="1"/>
    <col min="9992" max="9993" width="11.85546875" style="263" customWidth="1"/>
    <col min="9994" max="9996" width="13.7109375" style="263" customWidth="1"/>
    <col min="9997" max="9997" width="14.28515625" style="263" customWidth="1"/>
    <col min="9998" max="9998" width="13.28515625" style="263" customWidth="1"/>
    <col min="9999" max="9999" width="14.28515625" style="263" customWidth="1"/>
    <col min="10000" max="10000" width="12.5703125" style="263" customWidth="1"/>
    <col min="10001" max="10002" width="0" style="263" hidden="1" customWidth="1"/>
    <col min="10003" max="10003" width="11.5703125" style="263" customWidth="1"/>
    <col min="10004" max="10004" width="11" style="263" customWidth="1"/>
    <col min="10005" max="10005" width="11.85546875" style="263" customWidth="1"/>
    <col min="10006" max="10006" width="9" style="263" customWidth="1"/>
    <col min="10007" max="10007" width="12.85546875" style="263" customWidth="1"/>
    <col min="10008" max="10008" width="13.7109375" style="263" customWidth="1"/>
    <col min="10009" max="10010" width="0" style="263" hidden="1" customWidth="1"/>
    <col min="10011" max="10011" width="13.5703125" style="263" customWidth="1"/>
    <col min="10012" max="10012" width="9" style="263" customWidth="1"/>
    <col min="10013" max="10013" width="13.28515625" style="263" customWidth="1"/>
    <col min="10014" max="10014" width="9" style="263" customWidth="1"/>
    <col min="10015" max="10015" width="10.85546875" style="263" customWidth="1"/>
    <col min="10016" max="10016" width="13.5703125" style="263" customWidth="1"/>
    <col min="10017" max="10017" width="9" style="263" customWidth="1"/>
    <col min="10018" max="10018" width="11.5703125" style="263" customWidth="1"/>
    <col min="10019" max="10019" width="9" style="263" customWidth="1"/>
    <col min="10020" max="10020" width="10.140625" style="263" customWidth="1"/>
    <col min="10021" max="10021" width="9" style="263" customWidth="1"/>
    <col min="10022" max="10022" width="11.42578125" style="263" customWidth="1"/>
    <col min="10023" max="10025" width="9.140625" style="263"/>
    <col min="10026" max="10026" width="12.85546875" style="263" customWidth="1"/>
    <col min="10027" max="10237" width="9.140625" style="263"/>
    <col min="10238" max="10238" width="6.140625" style="263" customWidth="1"/>
    <col min="10239" max="10239" width="27" style="263" customWidth="1"/>
    <col min="10240" max="10240" width="13.7109375" style="263" customWidth="1"/>
    <col min="10241" max="10242" width="12.28515625" style="263" customWidth="1"/>
    <col min="10243" max="10243" width="14" style="263" customWidth="1"/>
    <col min="10244" max="10244" width="10.42578125" style="263" customWidth="1"/>
    <col min="10245" max="10245" width="10.28515625" style="263" customWidth="1"/>
    <col min="10246" max="10246" width="13.42578125" style="263" customWidth="1"/>
    <col min="10247" max="10247" width="9" style="263" customWidth="1"/>
    <col min="10248" max="10249" width="11.85546875" style="263" customWidth="1"/>
    <col min="10250" max="10252" width="13.7109375" style="263" customWidth="1"/>
    <col min="10253" max="10253" width="14.28515625" style="263" customWidth="1"/>
    <col min="10254" max="10254" width="13.28515625" style="263" customWidth="1"/>
    <col min="10255" max="10255" width="14.28515625" style="263" customWidth="1"/>
    <col min="10256" max="10256" width="12.5703125" style="263" customWidth="1"/>
    <col min="10257" max="10258" width="0" style="263" hidden="1" customWidth="1"/>
    <col min="10259" max="10259" width="11.5703125" style="263" customWidth="1"/>
    <col min="10260" max="10260" width="11" style="263" customWidth="1"/>
    <col min="10261" max="10261" width="11.85546875" style="263" customWidth="1"/>
    <col min="10262" max="10262" width="9" style="263" customWidth="1"/>
    <col min="10263" max="10263" width="12.85546875" style="263" customWidth="1"/>
    <col min="10264" max="10264" width="13.7109375" style="263" customWidth="1"/>
    <col min="10265" max="10266" width="0" style="263" hidden="1" customWidth="1"/>
    <col min="10267" max="10267" width="13.5703125" style="263" customWidth="1"/>
    <col min="10268" max="10268" width="9" style="263" customWidth="1"/>
    <col min="10269" max="10269" width="13.28515625" style="263" customWidth="1"/>
    <col min="10270" max="10270" width="9" style="263" customWidth="1"/>
    <col min="10271" max="10271" width="10.85546875" style="263" customWidth="1"/>
    <col min="10272" max="10272" width="13.5703125" style="263" customWidth="1"/>
    <col min="10273" max="10273" width="9" style="263" customWidth="1"/>
    <col min="10274" max="10274" width="11.5703125" style="263" customWidth="1"/>
    <col min="10275" max="10275" width="9" style="263" customWidth="1"/>
    <col min="10276" max="10276" width="10.140625" style="263" customWidth="1"/>
    <col min="10277" max="10277" width="9" style="263" customWidth="1"/>
    <col min="10278" max="10278" width="11.42578125" style="263" customWidth="1"/>
    <col min="10279" max="10281" width="9.140625" style="263"/>
    <col min="10282" max="10282" width="12.85546875" style="263" customWidth="1"/>
    <col min="10283" max="10493" width="9.140625" style="263"/>
    <col min="10494" max="10494" width="6.140625" style="263" customWidth="1"/>
    <col min="10495" max="10495" width="27" style="263" customWidth="1"/>
    <col min="10496" max="10496" width="13.7109375" style="263" customWidth="1"/>
    <col min="10497" max="10498" width="12.28515625" style="263" customWidth="1"/>
    <col min="10499" max="10499" width="14" style="263" customWidth="1"/>
    <col min="10500" max="10500" width="10.42578125" style="263" customWidth="1"/>
    <col min="10501" max="10501" width="10.28515625" style="263" customWidth="1"/>
    <col min="10502" max="10502" width="13.42578125" style="263" customWidth="1"/>
    <col min="10503" max="10503" width="9" style="263" customWidth="1"/>
    <col min="10504" max="10505" width="11.85546875" style="263" customWidth="1"/>
    <col min="10506" max="10508" width="13.7109375" style="263" customWidth="1"/>
    <col min="10509" max="10509" width="14.28515625" style="263" customWidth="1"/>
    <col min="10510" max="10510" width="13.28515625" style="263" customWidth="1"/>
    <col min="10511" max="10511" width="14.28515625" style="263" customWidth="1"/>
    <col min="10512" max="10512" width="12.5703125" style="263" customWidth="1"/>
    <col min="10513" max="10514" width="0" style="263" hidden="1" customWidth="1"/>
    <col min="10515" max="10515" width="11.5703125" style="263" customWidth="1"/>
    <col min="10516" max="10516" width="11" style="263" customWidth="1"/>
    <col min="10517" max="10517" width="11.85546875" style="263" customWidth="1"/>
    <col min="10518" max="10518" width="9" style="263" customWidth="1"/>
    <col min="10519" max="10519" width="12.85546875" style="263" customWidth="1"/>
    <col min="10520" max="10520" width="13.7109375" style="263" customWidth="1"/>
    <col min="10521" max="10522" width="0" style="263" hidden="1" customWidth="1"/>
    <col min="10523" max="10523" width="13.5703125" style="263" customWidth="1"/>
    <col min="10524" max="10524" width="9" style="263" customWidth="1"/>
    <col min="10525" max="10525" width="13.28515625" style="263" customWidth="1"/>
    <col min="10526" max="10526" width="9" style="263" customWidth="1"/>
    <col min="10527" max="10527" width="10.85546875" style="263" customWidth="1"/>
    <col min="10528" max="10528" width="13.5703125" style="263" customWidth="1"/>
    <col min="10529" max="10529" width="9" style="263" customWidth="1"/>
    <col min="10530" max="10530" width="11.5703125" style="263" customWidth="1"/>
    <col min="10531" max="10531" width="9" style="263" customWidth="1"/>
    <col min="10532" max="10532" width="10.140625" style="263" customWidth="1"/>
    <col min="10533" max="10533" width="9" style="263" customWidth="1"/>
    <col min="10534" max="10534" width="11.42578125" style="263" customWidth="1"/>
    <col min="10535" max="10537" width="9.140625" style="263"/>
    <col min="10538" max="10538" width="12.85546875" style="263" customWidth="1"/>
    <col min="10539" max="10749" width="9.140625" style="263"/>
    <col min="10750" max="10750" width="6.140625" style="263" customWidth="1"/>
    <col min="10751" max="10751" width="27" style="263" customWidth="1"/>
    <col min="10752" max="10752" width="13.7109375" style="263" customWidth="1"/>
    <col min="10753" max="10754" width="12.28515625" style="263" customWidth="1"/>
    <col min="10755" max="10755" width="14" style="263" customWidth="1"/>
    <col min="10756" max="10756" width="10.42578125" style="263" customWidth="1"/>
    <col min="10757" max="10757" width="10.28515625" style="263" customWidth="1"/>
    <col min="10758" max="10758" width="13.42578125" style="263" customWidth="1"/>
    <col min="10759" max="10759" width="9" style="263" customWidth="1"/>
    <col min="10760" max="10761" width="11.85546875" style="263" customWidth="1"/>
    <col min="10762" max="10764" width="13.7109375" style="263" customWidth="1"/>
    <col min="10765" max="10765" width="14.28515625" style="263" customWidth="1"/>
    <col min="10766" max="10766" width="13.28515625" style="263" customWidth="1"/>
    <col min="10767" max="10767" width="14.28515625" style="263" customWidth="1"/>
    <col min="10768" max="10768" width="12.5703125" style="263" customWidth="1"/>
    <col min="10769" max="10770" width="0" style="263" hidden="1" customWidth="1"/>
    <col min="10771" max="10771" width="11.5703125" style="263" customWidth="1"/>
    <col min="10772" max="10772" width="11" style="263" customWidth="1"/>
    <col min="10773" max="10773" width="11.85546875" style="263" customWidth="1"/>
    <col min="10774" max="10774" width="9" style="263" customWidth="1"/>
    <col min="10775" max="10775" width="12.85546875" style="263" customWidth="1"/>
    <col min="10776" max="10776" width="13.7109375" style="263" customWidth="1"/>
    <col min="10777" max="10778" width="0" style="263" hidden="1" customWidth="1"/>
    <col min="10779" max="10779" width="13.5703125" style="263" customWidth="1"/>
    <col min="10780" max="10780" width="9" style="263" customWidth="1"/>
    <col min="10781" max="10781" width="13.28515625" style="263" customWidth="1"/>
    <col min="10782" max="10782" width="9" style="263" customWidth="1"/>
    <col min="10783" max="10783" width="10.85546875" style="263" customWidth="1"/>
    <col min="10784" max="10784" width="13.5703125" style="263" customWidth="1"/>
    <col min="10785" max="10785" width="9" style="263" customWidth="1"/>
    <col min="10786" max="10786" width="11.5703125" style="263" customWidth="1"/>
    <col min="10787" max="10787" width="9" style="263" customWidth="1"/>
    <col min="10788" max="10788" width="10.140625" style="263" customWidth="1"/>
    <col min="10789" max="10789" width="9" style="263" customWidth="1"/>
    <col min="10790" max="10790" width="11.42578125" style="263" customWidth="1"/>
    <col min="10791" max="10793" width="9.140625" style="263"/>
    <col min="10794" max="10794" width="12.85546875" style="263" customWidth="1"/>
    <col min="10795" max="11005" width="9.140625" style="263"/>
    <col min="11006" max="11006" width="6.140625" style="263" customWidth="1"/>
    <col min="11007" max="11007" width="27" style="263" customWidth="1"/>
    <col min="11008" max="11008" width="13.7109375" style="263" customWidth="1"/>
    <col min="11009" max="11010" width="12.28515625" style="263" customWidth="1"/>
    <col min="11011" max="11011" width="14" style="263" customWidth="1"/>
    <col min="11012" max="11012" width="10.42578125" style="263" customWidth="1"/>
    <col min="11013" max="11013" width="10.28515625" style="263" customWidth="1"/>
    <col min="11014" max="11014" width="13.42578125" style="263" customWidth="1"/>
    <col min="11015" max="11015" width="9" style="263" customWidth="1"/>
    <col min="11016" max="11017" width="11.85546875" style="263" customWidth="1"/>
    <col min="11018" max="11020" width="13.7109375" style="263" customWidth="1"/>
    <col min="11021" max="11021" width="14.28515625" style="263" customWidth="1"/>
    <col min="11022" max="11022" width="13.28515625" style="263" customWidth="1"/>
    <col min="11023" max="11023" width="14.28515625" style="263" customWidth="1"/>
    <col min="11024" max="11024" width="12.5703125" style="263" customWidth="1"/>
    <col min="11025" max="11026" width="0" style="263" hidden="1" customWidth="1"/>
    <col min="11027" max="11027" width="11.5703125" style="263" customWidth="1"/>
    <col min="11028" max="11028" width="11" style="263" customWidth="1"/>
    <col min="11029" max="11029" width="11.85546875" style="263" customWidth="1"/>
    <col min="11030" max="11030" width="9" style="263" customWidth="1"/>
    <col min="11031" max="11031" width="12.85546875" style="263" customWidth="1"/>
    <col min="11032" max="11032" width="13.7109375" style="263" customWidth="1"/>
    <col min="11033" max="11034" width="0" style="263" hidden="1" customWidth="1"/>
    <col min="11035" max="11035" width="13.5703125" style="263" customWidth="1"/>
    <col min="11036" max="11036" width="9" style="263" customWidth="1"/>
    <col min="11037" max="11037" width="13.28515625" style="263" customWidth="1"/>
    <col min="11038" max="11038" width="9" style="263" customWidth="1"/>
    <col min="11039" max="11039" width="10.85546875" style="263" customWidth="1"/>
    <col min="11040" max="11040" width="13.5703125" style="263" customWidth="1"/>
    <col min="11041" max="11041" width="9" style="263" customWidth="1"/>
    <col min="11042" max="11042" width="11.5703125" style="263" customWidth="1"/>
    <col min="11043" max="11043" width="9" style="263" customWidth="1"/>
    <col min="11044" max="11044" width="10.140625" style="263" customWidth="1"/>
    <col min="11045" max="11045" width="9" style="263" customWidth="1"/>
    <col min="11046" max="11046" width="11.42578125" style="263" customWidth="1"/>
    <col min="11047" max="11049" width="9.140625" style="263"/>
    <col min="11050" max="11050" width="12.85546875" style="263" customWidth="1"/>
    <col min="11051" max="11261" width="9.140625" style="263"/>
    <col min="11262" max="11262" width="6.140625" style="263" customWidth="1"/>
    <col min="11263" max="11263" width="27" style="263" customWidth="1"/>
    <col min="11264" max="11264" width="13.7109375" style="263" customWidth="1"/>
    <col min="11265" max="11266" width="12.28515625" style="263" customWidth="1"/>
    <col min="11267" max="11267" width="14" style="263" customWidth="1"/>
    <col min="11268" max="11268" width="10.42578125" style="263" customWidth="1"/>
    <col min="11269" max="11269" width="10.28515625" style="263" customWidth="1"/>
    <col min="11270" max="11270" width="13.42578125" style="263" customWidth="1"/>
    <col min="11271" max="11271" width="9" style="263" customWidth="1"/>
    <col min="11272" max="11273" width="11.85546875" style="263" customWidth="1"/>
    <col min="11274" max="11276" width="13.7109375" style="263" customWidth="1"/>
    <col min="11277" max="11277" width="14.28515625" style="263" customWidth="1"/>
    <col min="11278" max="11278" width="13.28515625" style="263" customWidth="1"/>
    <col min="11279" max="11279" width="14.28515625" style="263" customWidth="1"/>
    <col min="11280" max="11280" width="12.5703125" style="263" customWidth="1"/>
    <col min="11281" max="11282" width="0" style="263" hidden="1" customWidth="1"/>
    <col min="11283" max="11283" width="11.5703125" style="263" customWidth="1"/>
    <col min="11284" max="11284" width="11" style="263" customWidth="1"/>
    <col min="11285" max="11285" width="11.85546875" style="263" customWidth="1"/>
    <col min="11286" max="11286" width="9" style="263" customWidth="1"/>
    <col min="11287" max="11287" width="12.85546875" style="263" customWidth="1"/>
    <col min="11288" max="11288" width="13.7109375" style="263" customWidth="1"/>
    <col min="11289" max="11290" width="0" style="263" hidden="1" customWidth="1"/>
    <col min="11291" max="11291" width="13.5703125" style="263" customWidth="1"/>
    <col min="11292" max="11292" width="9" style="263" customWidth="1"/>
    <col min="11293" max="11293" width="13.28515625" style="263" customWidth="1"/>
    <col min="11294" max="11294" width="9" style="263" customWidth="1"/>
    <col min="11295" max="11295" width="10.85546875" style="263" customWidth="1"/>
    <col min="11296" max="11296" width="13.5703125" style="263" customWidth="1"/>
    <col min="11297" max="11297" width="9" style="263" customWidth="1"/>
    <col min="11298" max="11298" width="11.5703125" style="263" customWidth="1"/>
    <col min="11299" max="11299" width="9" style="263" customWidth="1"/>
    <col min="11300" max="11300" width="10.140625" style="263" customWidth="1"/>
    <col min="11301" max="11301" width="9" style="263" customWidth="1"/>
    <col min="11302" max="11302" width="11.42578125" style="263" customWidth="1"/>
    <col min="11303" max="11305" width="9.140625" style="263"/>
    <col min="11306" max="11306" width="12.85546875" style="263" customWidth="1"/>
    <col min="11307" max="11517" width="9.140625" style="263"/>
    <col min="11518" max="11518" width="6.140625" style="263" customWidth="1"/>
    <col min="11519" max="11519" width="27" style="263" customWidth="1"/>
    <col min="11520" max="11520" width="13.7109375" style="263" customWidth="1"/>
    <col min="11521" max="11522" width="12.28515625" style="263" customWidth="1"/>
    <col min="11523" max="11523" width="14" style="263" customWidth="1"/>
    <col min="11524" max="11524" width="10.42578125" style="263" customWidth="1"/>
    <col min="11525" max="11525" width="10.28515625" style="263" customWidth="1"/>
    <col min="11526" max="11526" width="13.42578125" style="263" customWidth="1"/>
    <col min="11527" max="11527" width="9" style="263" customWidth="1"/>
    <col min="11528" max="11529" width="11.85546875" style="263" customWidth="1"/>
    <col min="11530" max="11532" width="13.7109375" style="263" customWidth="1"/>
    <col min="11533" max="11533" width="14.28515625" style="263" customWidth="1"/>
    <col min="11534" max="11534" width="13.28515625" style="263" customWidth="1"/>
    <col min="11535" max="11535" width="14.28515625" style="263" customWidth="1"/>
    <col min="11536" max="11536" width="12.5703125" style="263" customWidth="1"/>
    <col min="11537" max="11538" width="0" style="263" hidden="1" customWidth="1"/>
    <col min="11539" max="11539" width="11.5703125" style="263" customWidth="1"/>
    <col min="11540" max="11540" width="11" style="263" customWidth="1"/>
    <col min="11541" max="11541" width="11.85546875" style="263" customWidth="1"/>
    <col min="11542" max="11542" width="9" style="263" customWidth="1"/>
    <col min="11543" max="11543" width="12.85546875" style="263" customWidth="1"/>
    <col min="11544" max="11544" width="13.7109375" style="263" customWidth="1"/>
    <col min="11545" max="11546" width="0" style="263" hidden="1" customWidth="1"/>
    <col min="11547" max="11547" width="13.5703125" style="263" customWidth="1"/>
    <col min="11548" max="11548" width="9" style="263" customWidth="1"/>
    <col min="11549" max="11549" width="13.28515625" style="263" customWidth="1"/>
    <col min="11550" max="11550" width="9" style="263" customWidth="1"/>
    <col min="11551" max="11551" width="10.85546875" style="263" customWidth="1"/>
    <col min="11552" max="11552" width="13.5703125" style="263" customWidth="1"/>
    <col min="11553" max="11553" width="9" style="263" customWidth="1"/>
    <col min="11554" max="11554" width="11.5703125" style="263" customWidth="1"/>
    <col min="11555" max="11555" width="9" style="263" customWidth="1"/>
    <col min="11556" max="11556" width="10.140625" style="263" customWidth="1"/>
    <col min="11557" max="11557" width="9" style="263" customWidth="1"/>
    <col min="11558" max="11558" width="11.42578125" style="263" customWidth="1"/>
    <col min="11559" max="11561" width="9.140625" style="263"/>
    <col min="11562" max="11562" width="12.85546875" style="263" customWidth="1"/>
    <col min="11563" max="11773" width="9.140625" style="263"/>
    <col min="11774" max="11774" width="6.140625" style="263" customWidth="1"/>
    <col min="11775" max="11775" width="27" style="263" customWidth="1"/>
    <col min="11776" max="11776" width="13.7109375" style="263" customWidth="1"/>
    <col min="11777" max="11778" width="12.28515625" style="263" customWidth="1"/>
    <col min="11779" max="11779" width="14" style="263" customWidth="1"/>
    <col min="11780" max="11780" width="10.42578125" style="263" customWidth="1"/>
    <col min="11781" max="11781" width="10.28515625" style="263" customWidth="1"/>
    <col min="11782" max="11782" width="13.42578125" style="263" customWidth="1"/>
    <col min="11783" max="11783" width="9" style="263" customWidth="1"/>
    <col min="11784" max="11785" width="11.85546875" style="263" customWidth="1"/>
    <col min="11786" max="11788" width="13.7109375" style="263" customWidth="1"/>
    <col min="11789" max="11789" width="14.28515625" style="263" customWidth="1"/>
    <col min="11790" max="11790" width="13.28515625" style="263" customWidth="1"/>
    <col min="11791" max="11791" width="14.28515625" style="263" customWidth="1"/>
    <col min="11792" max="11792" width="12.5703125" style="263" customWidth="1"/>
    <col min="11793" max="11794" width="0" style="263" hidden="1" customWidth="1"/>
    <col min="11795" max="11795" width="11.5703125" style="263" customWidth="1"/>
    <col min="11796" max="11796" width="11" style="263" customWidth="1"/>
    <col min="11797" max="11797" width="11.85546875" style="263" customWidth="1"/>
    <col min="11798" max="11798" width="9" style="263" customWidth="1"/>
    <col min="11799" max="11799" width="12.85546875" style="263" customWidth="1"/>
    <col min="11800" max="11800" width="13.7109375" style="263" customWidth="1"/>
    <col min="11801" max="11802" width="0" style="263" hidden="1" customWidth="1"/>
    <col min="11803" max="11803" width="13.5703125" style="263" customWidth="1"/>
    <col min="11804" max="11804" width="9" style="263" customWidth="1"/>
    <col min="11805" max="11805" width="13.28515625" style="263" customWidth="1"/>
    <col min="11806" max="11806" width="9" style="263" customWidth="1"/>
    <col min="11807" max="11807" width="10.85546875" style="263" customWidth="1"/>
    <col min="11808" max="11808" width="13.5703125" style="263" customWidth="1"/>
    <col min="11809" max="11809" width="9" style="263" customWidth="1"/>
    <col min="11810" max="11810" width="11.5703125" style="263" customWidth="1"/>
    <col min="11811" max="11811" width="9" style="263" customWidth="1"/>
    <col min="11812" max="11812" width="10.140625" style="263" customWidth="1"/>
    <col min="11813" max="11813" width="9" style="263" customWidth="1"/>
    <col min="11814" max="11814" width="11.42578125" style="263" customWidth="1"/>
    <col min="11815" max="11817" width="9.140625" style="263"/>
    <col min="11818" max="11818" width="12.85546875" style="263" customWidth="1"/>
    <col min="11819" max="12029" width="9.140625" style="263"/>
    <col min="12030" max="12030" width="6.140625" style="263" customWidth="1"/>
    <col min="12031" max="12031" width="27" style="263" customWidth="1"/>
    <col min="12032" max="12032" width="13.7109375" style="263" customWidth="1"/>
    <col min="12033" max="12034" width="12.28515625" style="263" customWidth="1"/>
    <col min="12035" max="12035" width="14" style="263" customWidth="1"/>
    <col min="12036" max="12036" width="10.42578125" style="263" customWidth="1"/>
    <col min="12037" max="12037" width="10.28515625" style="263" customWidth="1"/>
    <col min="12038" max="12038" width="13.42578125" style="263" customWidth="1"/>
    <col min="12039" max="12039" width="9" style="263" customWidth="1"/>
    <col min="12040" max="12041" width="11.85546875" style="263" customWidth="1"/>
    <col min="12042" max="12044" width="13.7109375" style="263" customWidth="1"/>
    <col min="12045" max="12045" width="14.28515625" style="263" customWidth="1"/>
    <col min="12046" max="12046" width="13.28515625" style="263" customWidth="1"/>
    <col min="12047" max="12047" width="14.28515625" style="263" customWidth="1"/>
    <col min="12048" max="12048" width="12.5703125" style="263" customWidth="1"/>
    <col min="12049" max="12050" width="0" style="263" hidden="1" customWidth="1"/>
    <col min="12051" max="12051" width="11.5703125" style="263" customWidth="1"/>
    <col min="12052" max="12052" width="11" style="263" customWidth="1"/>
    <col min="12053" max="12053" width="11.85546875" style="263" customWidth="1"/>
    <col min="12054" max="12054" width="9" style="263" customWidth="1"/>
    <col min="12055" max="12055" width="12.85546875" style="263" customWidth="1"/>
    <col min="12056" max="12056" width="13.7109375" style="263" customWidth="1"/>
    <col min="12057" max="12058" width="0" style="263" hidden="1" customWidth="1"/>
    <col min="12059" max="12059" width="13.5703125" style="263" customWidth="1"/>
    <col min="12060" max="12060" width="9" style="263" customWidth="1"/>
    <col min="12061" max="12061" width="13.28515625" style="263" customWidth="1"/>
    <col min="12062" max="12062" width="9" style="263" customWidth="1"/>
    <col min="12063" max="12063" width="10.85546875" style="263" customWidth="1"/>
    <col min="12064" max="12064" width="13.5703125" style="263" customWidth="1"/>
    <col min="12065" max="12065" width="9" style="263" customWidth="1"/>
    <col min="12066" max="12066" width="11.5703125" style="263" customWidth="1"/>
    <col min="12067" max="12067" width="9" style="263" customWidth="1"/>
    <col min="12068" max="12068" width="10.140625" style="263" customWidth="1"/>
    <col min="12069" max="12069" width="9" style="263" customWidth="1"/>
    <col min="12070" max="12070" width="11.42578125" style="263" customWidth="1"/>
    <col min="12071" max="12073" width="9.140625" style="263"/>
    <col min="12074" max="12074" width="12.85546875" style="263" customWidth="1"/>
    <col min="12075" max="12285" width="9.140625" style="263"/>
    <col min="12286" max="12286" width="6.140625" style="263" customWidth="1"/>
    <col min="12287" max="12287" width="27" style="263" customWidth="1"/>
    <col min="12288" max="12288" width="13.7109375" style="263" customWidth="1"/>
    <col min="12289" max="12290" width="12.28515625" style="263" customWidth="1"/>
    <col min="12291" max="12291" width="14" style="263" customWidth="1"/>
    <col min="12292" max="12292" width="10.42578125" style="263" customWidth="1"/>
    <col min="12293" max="12293" width="10.28515625" style="263" customWidth="1"/>
    <col min="12294" max="12294" width="13.42578125" style="263" customWidth="1"/>
    <col min="12295" max="12295" width="9" style="263" customWidth="1"/>
    <col min="12296" max="12297" width="11.85546875" style="263" customWidth="1"/>
    <col min="12298" max="12300" width="13.7109375" style="263" customWidth="1"/>
    <col min="12301" max="12301" width="14.28515625" style="263" customWidth="1"/>
    <col min="12302" max="12302" width="13.28515625" style="263" customWidth="1"/>
    <col min="12303" max="12303" width="14.28515625" style="263" customWidth="1"/>
    <col min="12304" max="12304" width="12.5703125" style="263" customWidth="1"/>
    <col min="12305" max="12306" width="0" style="263" hidden="1" customWidth="1"/>
    <col min="12307" max="12307" width="11.5703125" style="263" customWidth="1"/>
    <col min="12308" max="12308" width="11" style="263" customWidth="1"/>
    <col min="12309" max="12309" width="11.85546875" style="263" customWidth="1"/>
    <col min="12310" max="12310" width="9" style="263" customWidth="1"/>
    <col min="12311" max="12311" width="12.85546875" style="263" customWidth="1"/>
    <col min="12312" max="12312" width="13.7109375" style="263" customWidth="1"/>
    <col min="12313" max="12314" width="0" style="263" hidden="1" customWidth="1"/>
    <col min="12315" max="12315" width="13.5703125" style="263" customWidth="1"/>
    <col min="12316" max="12316" width="9" style="263" customWidth="1"/>
    <col min="12317" max="12317" width="13.28515625" style="263" customWidth="1"/>
    <col min="12318" max="12318" width="9" style="263" customWidth="1"/>
    <col min="12319" max="12319" width="10.85546875" style="263" customWidth="1"/>
    <col min="12320" max="12320" width="13.5703125" style="263" customWidth="1"/>
    <col min="12321" max="12321" width="9" style="263" customWidth="1"/>
    <col min="12322" max="12322" width="11.5703125" style="263" customWidth="1"/>
    <col min="12323" max="12323" width="9" style="263" customWidth="1"/>
    <col min="12324" max="12324" width="10.140625" style="263" customWidth="1"/>
    <col min="12325" max="12325" width="9" style="263" customWidth="1"/>
    <col min="12326" max="12326" width="11.42578125" style="263" customWidth="1"/>
    <col min="12327" max="12329" width="9.140625" style="263"/>
    <col min="12330" max="12330" width="12.85546875" style="263" customWidth="1"/>
    <col min="12331" max="12541" width="9.140625" style="263"/>
    <col min="12542" max="12542" width="6.140625" style="263" customWidth="1"/>
    <col min="12543" max="12543" width="27" style="263" customWidth="1"/>
    <col min="12544" max="12544" width="13.7109375" style="263" customWidth="1"/>
    <col min="12545" max="12546" width="12.28515625" style="263" customWidth="1"/>
    <col min="12547" max="12547" width="14" style="263" customWidth="1"/>
    <col min="12548" max="12548" width="10.42578125" style="263" customWidth="1"/>
    <col min="12549" max="12549" width="10.28515625" style="263" customWidth="1"/>
    <col min="12550" max="12550" width="13.42578125" style="263" customWidth="1"/>
    <col min="12551" max="12551" width="9" style="263" customWidth="1"/>
    <col min="12552" max="12553" width="11.85546875" style="263" customWidth="1"/>
    <col min="12554" max="12556" width="13.7109375" style="263" customWidth="1"/>
    <col min="12557" max="12557" width="14.28515625" style="263" customWidth="1"/>
    <col min="12558" max="12558" width="13.28515625" style="263" customWidth="1"/>
    <col min="12559" max="12559" width="14.28515625" style="263" customWidth="1"/>
    <col min="12560" max="12560" width="12.5703125" style="263" customWidth="1"/>
    <col min="12561" max="12562" width="0" style="263" hidden="1" customWidth="1"/>
    <col min="12563" max="12563" width="11.5703125" style="263" customWidth="1"/>
    <col min="12564" max="12564" width="11" style="263" customWidth="1"/>
    <col min="12565" max="12565" width="11.85546875" style="263" customWidth="1"/>
    <col min="12566" max="12566" width="9" style="263" customWidth="1"/>
    <col min="12567" max="12567" width="12.85546875" style="263" customWidth="1"/>
    <col min="12568" max="12568" width="13.7109375" style="263" customWidth="1"/>
    <col min="12569" max="12570" width="0" style="263" hidden="1" customWidth="1"/>
    <col min="12571" max="12571" width="13.5703125" style="263" customWidth="1"/>
    <col min="12572" max="12572" width="9" style="263" customWidth="1"/>
    <col min="12573" max="12573" width="13.28515625" style="263" customWidth="1"/>
    <col min="12574" max="12574" width="9" style="263" customWidth="1"/>
    <col min="12575" max="12575" width="10.85546875" style="263" customWidth="1"/>
    <col min="12576" max="12576" width="13.5703125" style="263" customWidth="1"/>
    <col min="12577" max="12577" width="9" style="263" customWidth="1"/>
    <col min="12578" max="12578" width="11.5703125" style="263" customWidth="1"/>
    <col min="12579" max="12579" width="9" style="263" customWidth="1"/>
    <col min="12580" max="12580" width="10.140625" style="263" customWidth="1"/>
    <col min="12581" max="12581" width="9" style="263" customWidth="1"/>
    <col min="12582" max="12582" width="11.42578125" style="263" customWidth="1"/>
    <col min="12583" max="12585" width="9.140625" style="263"/>
    <col min="12586" max="12586" width="12.85546875" style="263" customWidth="1"/>
    <col min="12587" max="12797" width="9.140625" style="263"/>
    <col min="12798" max="12798" width="6.140625" style="263" customWidth="1"/>
    <col min="12799" max="12799" width="27" style="263" customWidth="1"/>
    <col min="12800" max="12800" width="13.7109375" style="263" customWidth="1"/>
    <col min="12801" max="12802" width="12.28515625" style="263" customWidth="1"/>
    <col min="12803" max="12803" width="14" style="263" customWidth="1"/>
    <col min="12804" max="12804" width="10.42578125" style="263" customWidth="1"/>
    <col min="12805" max="12805" width="10.28515625" style="263" customWidth="1"/>
    <col min="12806" max="12806" width="13.42578125" style="263" customWidth="1"/>
    <col min="12807" max="12807" width="9" style="263" customWidth="1"/>
    <col min="12808" max="12809" width="11.85546875" style="263" customWidth="1"/>
    <col min="12810" max="12812" width="13.7109375" style="263" customWidth="1"/>
    <col min="12813" max="12813" width="14.28515625" style="263" customWidth="1"/>
    <col min="12814" max="12814" width="13.28515625" style="263" customWidth="1"/>
    <col min="12815" max="12815" width="14.28515625" style="263" customWidth="1"/>
    <col min="12816" max="12816" width="12.5703125" style="263" customWidth="1"/>
    <col min="12817" max="12818" width="0" style="263" hidden="1" customWidth="1"/>
    <col min="12819" max="12819" width="11.5703125" style="263" customWidth="1"/>
    <col min="12820" max="12820" width="11" style="263" customWidth="1"/>
    <col min="12821" max="12821" width="11.85546875" style="263" customWidth="1"/>
    <col min="12822" max="12822" width="9" style="263" customWidth="1"/>
    <col min="12823" max="12823" width="12.85546875" style="263" customWidth="1"/>
    <col min="12824" max="12824" width="13.7109375" style="263" customWidth="1"/>
    <col min="12825" max="12826" width="0" style="263" hidden="1" customWidth="1"/>
    <col min="12827" max="12827" width="13.5703125" style="263" customWidth="1"/>
    <col min="12828" max="12828" width="9" style="263" customWidth="1"/>
    <col min="12829" max="12829" width="13.28515625" style="263" customWidth="1"/>
    <col min="12830" max="12830" width="9" style="263" customWidth="1"/>
    <col min="12831" max="12831" width="10.85546875" style="263" customWidth="1"/>
    <col min="12832" max="12832" width="13.5703125" style="263" customWidth="1"/>
    <col min="12833" max="12833" width="9" style="263" customWidth="1"/>
    <col min="12834" max="12834" width="11.5703125" style="263" customWidth="1"/>
    <col min="12835" max="12835" width="9" style="263" customWidth="1"/>
    <col min="12836" max="12836" width="10.140625" style="263" customWidth="1"/>
    <col min="12837" max="12837" width="9" style="263" customWidth="1"/>
    <col min="12838" max="12838" width="11.42578125" style="263" customWidth="1"/>
    <col min="12839" max="12841" width="9.140625" style="263"/>
    <col min="12842" max="12842" width="12.85546875" style="263" customWidth="1"/>
    <col min="12843" max="13053" width="9.140625" style="263"/>
    <col min="13054" max="13054" width="6.140625" style="263" customWidth="1"/>
    <col min="13055" max="13055" width="27" style="263" customWidth="1"/>
    <col min="13056" max="13056" width="13.7109375" style="263" customWidth="1"/>
    <col min="13057" max="13058" width="12.28515625" style="263" customWidth="1"/>
    <col min="13059" max="13059" width="14" style="263" customWidth="1"/>
    <col min="13060" max="13060" width="10.42578125" style="263" customWidth="1"/>
    <col min="13061" max="13061" width="10.28515625" style="263" customWidth="1"/>
    <col min="13062" max="13062" width="13.42578125" style="263" customWidth="1"/>
    <col min="13063" max="13063" width="9" style="263" customWidth="1"/>
    <col min="13064" max="13065" width="11.85546875" style="263" customWidth="1"/>
    <col min="13066" max="13068" width="13.7109375" style="263" customWidth="1"/>
    <col min="13069" max="13069" width="14.28515625" style="263" customWidth="1"/>
    <col min="13070" max="13070" width="13.28515625" style="263" customWidth="1"/>
    <col min="13071" max="13071" width="14.28515625" style="263" customWidth="1"/>
    <col min="13072" max="13072" width="12.5703125" style="263" customWidth="1"/>
    <col min="13073" max="13074" width="0" style="263" hidden="1" customWidth="1"/>
    <col min="13075" max="13075" width="11.5703125" style="263" customWidth="1"/>
    <col min="13076" max="13076" width="11" style="263" customWidth="1"/>
    <col min="13077" max="13077" width="11.85546875" style="263" customWidth="1"/>
    <col min="13078" max="13078" width="9" style="263" customWidth="1"/>
    <col min="13079" max="13079" width="12.85546875" style="263" customWidth="1"/>
    <col min="13080" max="13080" width="13.7109375" style="263" customWidth="1"/>
    <col min="13081" max="13082" width="0" style="263" hidden="1" customWidth="1"/>
    <col min="13083" max="13083" width="13.5703125" style="263" customWidth="1"/>
    <col min="13084" max="13084" width="9" style="263" customWidth="1"/>
    <col min="13085" max="13085" width="13.28515625" style="263" customWidth="1"/>
    <col min="13086" max="13086" width="9" style="263" customWidth="1"/>
    <col min="13087" max="13087" width="10.85546875" style="263" customWidth="1"/>
    <col min="13088" max="13088" width="13.5703125" style="263" customWidth="1"/>
    <col min="13089" max="13089" width="9" style="263" customWidth="1"/>
    <col min="13090" max="13090" width="11.5703125" style="263" customWidth="1"/>
    <col min="13091" max="13091" width="9" style="263" customWidth="1"/>
    <col min="13092" max="13092" width="10.140625" style="263" customWidth="1"/>
    <col min="13093" max="13093" width="9" style="263" customWidth="1"/>
    <col min="13094" max="13094" width="11.42578125" style="263" customWidth="1"/>
    <col min="13095" max="13097" width="9.140625" style="263"/>
    <col min="13098" max="13098" width="12.85546875" style="263" customWidth="1"/>
    <col min="13099" max="13309" width="9.140625" style="263"/>
    <col min="13310" max="13310" width="6.140625" style="263" customWidth="1"/>
    <col min="13311" max="13311" width="27" style="263" customWidth="1"/>
    <col min="13312" max="13312" width="13.7109375" style="263" customWidth="1"/>
    <col min="13313" max="13314" width="12.28515625" style="263" customWidth="1"/>
    <col min="13315" max="13315" width="14" style="263" customWidth="1"/>
    <col min="13316" max="13316" width="10.42578125" style="263" customWidth="1"/>
    <col min="13317" max="13317" width="10.28515625" style="263" customWidth="1"/>
    <col min="13318" max="13318" width="13.42578125" style="263" customWidth="1"/>
    <col min="13319" max="13319" width="9" style="263" customWidth="1"/>
    <col min="13320" max="13321" width="11.85546875" style="263" customWidth="1"/>
    <col min="13322" max="13324" width="13.7109375" style="263" customWidth="1"/>
    <col min="13325" max="13325" width="14.28515625" style="263" customWidth="1"/>
    <col min="13326" max="13326" width="13.28515625" style="263" customWidth="1"/>
    <col min="13327" max="13327" width="14.28515625" style="263" customWidth="1"/>
    <col min="13328" max="13328" width="12.5703125" style="263" customWidth="1"/>
    <col min="13329" max="13330" width="0" style="263" hidden="1" customWidth="1"/>
    <col min="13331" max="13331" width="11.5703125" style="263" customWidth="1"/>
    <col min="13332" max="13332" width="11" style="263" customWidth="1"/>
    <col min="13333" max="13333" width="11.85546875" style="263" customWidth="1"/>
    <col min="13334" max="13334" width="9" style="263" customWidth="1"/>
    <col min="13335" max="13335" width="12.85546875" style="263" customWidth="1"/>
    <col min="13336" max="13336" width="13.7109375" style="263" customWidth="1"/>
    <col min="13337" max="13338" width="0" style="263" hidden="1" customWidth="1"/>
    <col min="13339" max="13339" width="13.5703125" style="263" customWidth="1"/>
    <col min="13340" max="13340" width="9" style="263" customWidth="1"/>
    <col min="13341" max="13341" width="13.28515625" style="263" customWidth="1"/>
    <col min="13342" max="13342" width="9" style="263" customWidth="1"/>
    <col min="13343" max="13343" width="10.85546875" style="263" customWidth="1"/>
    <col min="13344" max="13344" width="13.5703125" style="263" customWidth="1"/>
    <col min="13345" max="13345" width="9" style="263" customWidth="1"/>
    <col min="13346" max="13346" width="11.5703125" style="263" customWidth="1"/>
    <col min="13347" max="13347" width="9" style="263" customWidth="1"/>
    <col min="13348" max="13348" width="10.140625" style="263" customWidth="1"/>
    <col min="13349" max="13349" width="9" style="263" customWidth="1"/>
    <col min="13350" max="13350" width="11.42578125" style="263" customWidth="1"/>
    <col min="13351" max="13353" width="9.140625" style="263"/>
    <col min="13354" max="13354" width="12.85546875" style="263" customWidth="1"/>
    <col min="13355" max="13565" width="9.140625" style="263"/>
    <col min="13566" max="13566" width="6.140625" style="263" customWidth="1"/>
    <col min="13567" max="13567" width="27" style="263" customWidth="1"/>
    <col min="13568" max="13568" width="13.7109375" style="263" customWidth="1"/>
    <col min="13569" max="13570" width="12.28515625" style="263" customWidth="1"/>
    <col min="13571" max="13571" width="14" style="263" customWidth="1"/>
    <col min="13572" max="13572" width="10.42578125" style="263" customWidth="1"/>
    <col min="13573" max="13573" width="10.28515625" style="263" customWidth="1"/>
    <col min="13574" max="13574" width="13.42578125" style="263" customWidth="1"/>
    <col min="13575" max="13575" width="9" style="263" customWidth="1"/>
    <col min="13576" max="13577" width="11.85546875" style="263" customWidth="1"/>
    <col min="13578" max="13580" width="13.7109375" style="263" customWidth="1"/>
    <col min="13581" max="13581" width="14.28515625" style="263" customWidth="1"/>
    <col min="13582" max="13582" width="13.28515625" style="263" customWidth="1"/>
    <col min="13583" max="13583" width="14.28515625" style="263" customWidth="1"/>
    <col min="13584" max="13584" width="12.5703125" style="263" customWidth="1"/>
    <col min="13585" max="13586" width="0" style="263" hidden="1" customWidth="1"/>
    <col min="13587" max="13587" width="11.5703125" style="263" customWidth="1"/>
    <col min="13588" max="13588" width="11" style="263" customWidth="1"/>
    <col min="13589" max="13589" width="11.85546875" style="263" customWidth="1"/>
    <col min="13590" max="13590" width="9" style="263" customWidth="1"/>
    <col min="13591" max="13591" width="12.85546875" style="263" customWidth="1"/>
    <col min="13592" max="13592" width="13.7109375" style="263" customWidth="1"/>
    <col min="13593" max="13594" width="0" style="263" hidden="1" customWidth="1"/>
    <col min="13595" max="13595" width="13.5703125" style="263" customWidth="1"/>
    <col min="13596" max="13596" width="9" style="263" customWidth="1"/>
    <col min="13597" max="13597" width="13.28515625" style="263" customWidth="1"/>
    <col min="13598" max="13598" width="9" style="263" customWidth="1"/>
    <col min="13599" max="13599" width="10.85546875" style="263" customWidth="1"/>
    <col min="13600" max="13600" width="13.5703125" style="263" customWidth="1"/>
    <col min="13601" max="13601" width="9" style="263" customWidth="1"/>
    <col min="13602" max="13602" width="11.5703125" style="263" customWidth="1"/>
    <col min="13603" max="13603" width="9" style="263" customWidth="1"/>
    <col min="13604" max="13604" width="10.140625" style="263" customWidth="1"/>
    <col min="13605" max="13605" width="9" style="263" customWidth="1"/>
    <col min="13606" max="13606" width="11.42578125" style="263" customWidth="1"/>
    <col min="13607" max="13609" width="9.140625" style="263"/>
    <col min="13610" max="13610" width="12.85546875" style="263" customWidth="1"/>
    <col min="13611" max="13821" width="9.140625" style="263"/>
    <col min="13822" max="13822" width="6.140625" style="263" customWidth="1"/>
    <col min="13823" max="13823" width="27" style="263" customWidth="1"/>
    <col min="13824" max="13824" width="13.7109375" style="263" customWidth="1"/>
    <col min="13825" max="13826" width="12.28515625" style="263" customWidth="1"/>
    <col min="13827" max="13827" width="14" style="263" customWidth="1"/>
    <col min="13828" max="13828" width="10.42578125" style="263" customWidth="1"/>
    <col min="13829" max="13829" width="10.28515625" style="263" customWidth="1"/>
    <col min="13830" max="13830" width="13.42578125" style="263" customWidth="1"/>
    <col min="13831" max="13831" width="9" style="263" customWidth="1"/>
    <col min="13832" max="13833" width="11.85546875" style="263" customWidth="1"/>
    <col min="13834" max="13836" width="13.7109375" style="263" customWidth="1"/>
    <col min="13837" max="13837" width="14.28515625" style="263" customWidth="1"/>
    <col min="13838" max="13838" width="13.28515625" style="263" customWidth="1"/>
    <col min="13839" max="13839" width="14.28515625" style="263" customWidth="1"/>
    <col min="13840" max="13840" width="12.5703125" style="263" customWidth="1"/>
    <col min="13841" max="13842" width="0" style="263" hidden="1" customWidth="1"/>
    <col min="13843" max="13843" width="11.5703125" style="263" customWidth="1"/>
    <col min="13844" max="13844" width="11" style="263" customWidth="1"/>
    <col min="13845" max="13845" width="11.85546875" style="263" customWidth="1"/>
    <col min="13846" max="13846" width="9" style="263" customWidth="1"/>
    <col min="13847" max="13847" width="12.85546875" style="263" customWidth="1"/>
    <col min="13848" max="13848" width="13.7109375" style="263" customWidth="1"/>
    <col min="13849" max="13850" width="0" style="263" hidden="1" customWidth="1"/>
    <col min="13851" max="13851" width="13.5703125" style="263" customWidth="1"/>
    <col min="13852" max="13852" width="9" style="263" customWidth="1"/>
    <col min="13853" max="13853" width="13.28515625" style="263" customWidth="1"/>
    <col min="13854" max="13854" width="9" style="263" customWidth="1"/>
    <col min="13855" max="13855" width="10.85546875" style="263" customWidth="1"/>
    <col min="13856" max="13856" width="13.5703125" style="263" customWidth="1"/>
    <col min="13857" max="13857" width="9" style="263" customWidth="1"/>
    <col min="13858" max="13858" width="11.5703125" style="263" customWidth="1"/>
    <col min="13859" max="13859" width="9" style="263" customWidth="1"/>
    <col min="13860" max="13860" width="10.140625" style="263" customWidth="1"/>
    <col min="13861" max="13861" width="9" style="263" customWidth="1"/>
    <col min="13862" max="13862" width="11.42578125" style="263" customWidth="1"/>
    <col min="13863" max="13865" width="9.140625" style="263"/>
    <col min="13866" max="13866" width="12.85546875" style="263" customWidth="1"/>
    <col min="13867" max="14077" width="9.140625" style="263"/>
    <col min="14078" max="14078" width="6.140625" style="263" customWidth="1"/>
    <col min="14079" max="14079" width="27" style="263" customWidth="1"/>
    <col min="14080" max="14080" width="13.7109375" style="263" customWidth="1"/>
    <col min="14081" max="14082" width="12.28515625" style="263" customWidth="1"/>
    <col min="14083" max="14083" width="14" style="263" customWidth="1"/>
    <col min="14084" max="14084" width="10.42578125" style="263" customWidth="1"/>
    <col min="14085" max="14085" width="10.28515625" style="263" customWidth="1"/>
    <col min="14086" max="14086" width="13.42578125" style="263" customWidth="1"/>
    <col min="14087" max="14087" width="9" style="263" customWidth="1"/>
    <col min="14088" max="14089" width="11.85546875" style="263" customWidth="1"/>
    <col min="14090" max="14092" width="13.7109375" style="263" customWidth="1"/>
    <col min="14093" max="14093" width="14.28515625" style="263" customWidth="1"/>
    <col min="14094" max="14094" width="13.28515625" style="263" customWidth="1"/>
    <col min="14095" max="14095" width="14.28515625" style="263" customWidth="1"/>
    <col min="14096" max="14096" width="12.5703125" style="263" customWidth="1"/>
    <col min="14097" max="14098" width="0" style="263" hidden="1" customWidth="1"/>
    <col min="14099" max="14099" width="11.5703125" style="263" customWidth="1"/>
    <col min="14100" max="14100" width="11" style="263" customWidth="1"/>
    <col min="14101" max="14101" width="11.85546875" style="263" customWidth="1"/>
    <col min="14102" max="14102" width="9" style="263" customWidth="1"/>
    <col min="14103" max="14103" width="12.85546875" style="263" customWidth="1"/>
    <col min="14104" max="14104" width="13.7109375" style="263" customWidth="1"/>
    <col min="14105" max="14106" width="0" style="263" hidden="1" customWidth="1"/>
    <col min="14107" max="14107" width="13.5703125" style="263" customWidth="1"/>
    <col min="14108" max="14108" width="9" style="263" customWidth="1"/>
    <col min="14109" max="14109" width="13.28515625" style="263" customWidth="1"/>
    <col min="14110" max="14110" width="9" style="263" customWidth="1"/>
    <col min="14111" max="14111" width="10.85546875" style="263" customWidth="1"/>
    <col min="14112" max="14112" width="13.5703125" style="263" customWidth="1"/>
    <col min="14113" max="14113" width="9" style="263" customWidth="1"/>
    <col min="14114" max="14114" width="11.5703125" style="263" customWidth="1"/>
    <col min="14115" max="14115" width="9" style="263" customWidth="1"/>
    <col min="14116" max="14116" width="10.140625" style="263" customWidth="1"/>
    <col min="14117" max="14117" width="9" style="263" customWidth="1"/>
    <col min="14118" max="14118" width="11.42578125" style="263" customWidth="1"/>
    <col min="14119" max="14121" width="9.140625" style="263"/>
    <col min="14122" max="14122" width="12.85546875" style="263" customWidth="1"/>
    <col min="14123" max="14333" width="9.140625" style="263"/>
    <col min="14334" max="14334" width="6.140625" style="263" customWidth="1"/>
    <col min="14335" max="14335" width="27" style="263" customWidth="1"/>
    <col min="14336" max="14336" width="13.7109375" style="263" customWidth="1"/>
    <col min="14337" max="14338" width="12.28515625" style="263" customWidth="1"/>
    <col min="14339" max="14339" width="14" style="263" customWidth="1"/>
    <col min="14340" max="14340" width="10.42578125" style="263" customWidth="1"/>
    <col min="14341" max="14341" width="10.28515625" style="263" customWidth="1"/>
    <col min="14342" max="14342" width="13.42578125" style="263" customWidth="1"/>
    <col min="14343" max="14343" width="9" style="263" customWidth="1"/>
    <col min="14344" max="14345" width="11.85546875" style="263" customWidth="1"/>
    <col min="14346" max="14348" width="13.7109375" style="263" customWidth="1"/>
    <col min="14349" max="14349" width="14.28515625" style="263" customWidth="1"/>
    <col min="14350" max="14350" width="13.28515625" style="263" customWidth="1"/>
    <col min="14351" max="14351" width="14.28515625" style="263" customWidth="1"/>
    <col min="14352" max="14352" width="12.5703125" style="263" customWidth="1"/>
    <col min="14353" max="14354" width="0" style="263" hidden="1" customWidth="1"/>
    <col min="14355" max="14355" width="11.5703125" style="263" customWidth="1"/>
    <col min="14356" max="14356" width="11" style="263" customWidth="1"/>
    <col min="14357" max="14357" width="11.85546875" style="263" customWidth="1"/>
    <col min="14358" max="14358" width="9" style="263" customWidth="1"/>
    <col min="14359" max="14359" width="12.85546875" style="263" customWidth="1"/>
    <col min="14360" max="14360" width="13.7109375" style="263" customWidth="1"/>
    <col min="14361" max="14362" width="0" style="263" hidden="1" customWidth="1"/>
    <col min="14363" max="14363" width="13.5703125" style="263" customWidth="1"/>
    <col min="14364" max="14364" width="9" style="263" customWidth="1"/>
    <col min="14365" max="14365" width="13.28515625" style="263" customWidth="1"/>
    <col min="14366" max="14366" width="9" style="263" customWidth="1"/>
    <col min="14367" max="14367" width="10.85546875" style="263" customWidth="1"/>
    <col min="14368" max="14368" width="13.5703125" style="263" customWidth="1"/>
    <col min="14369" max="14369" width="9" style="263" customWidth="1"/>
    <col min="14370" max="14370" width="11.5703125" style="263" customWidth="1"/>
    <col min="14371" max="14371" width="9" style="263" customWidth="1"/>
    <col min="14372" max="14372" width="10.140625" style="263" customWidth="1"/>
    <col min="14373" max="14373" width="9" style="263" customWidth="1"/>
    <col min="14374" max="14374" width="11.42578125" style="263" customWidth="1"/>
    <col min="14375" max="14377" width="9.140625" style="263"/>
    <col min="14378" max="14378" width="12.85546875" style="263" customWidth="1"/>
    <col min="14379" max="14589" width="9.140625" style="263"/>
    <col min="14590" max="14590" width="6.140625" style="263" customWidth="1"/>
    <col min="14591" max="14591" width="27" style="263" customWidth="1"/>
    <col min="14592" max="14592" width="13.7109375" style="263" customWidth="1"/>
    <col min="14593" max="14594" width="12.28515625" style="263" customWidth="1"/>
    <col min="14595" max="14595" width="14" style="263" customWidth="1"/>
    <col min="14596" max="14596" width="10.42578125" style="263" customWidth="1"/>
    <col min="14597" max="14597" width="10.28515625" style="263" customWidth="1"/>
    <col min="14598" max="14598" width="13.42578125" style="263" customWidth="1"/>
    <col min="14599" max="14599" width="9" style="263" customWidth="1"/>
    <col min="14600" max="14601" width="11.85546875" style="263" customWidth="1"/>
    <col min="14602" max="14604" width="13.7109375" style="263" customWidth="1"/>
    <col min="14605" max="14605" width="14.28515625" style="263" customWidth="1"/>
    <col min="14606" max="14606" width="13.28515625" style="263" customWidth="1"/>
    <col min="14607" max="14607" width="14.28515625" style="263" customWidth="1"/>
    <col min="14608" max="14608" width="12.5703125" style="263" customWidth="1"/>
    <col min="14609" max="14610" width="0" style="263" hidden="1" customWidth="1"/>
    <col min="14611" max="14611" width="11.5703125" style="263" customWidth="1"/>
    <col min="14612" max="14612" width="11" style="263" customWidth="1"/>
    <col min="14613" max="14613" width="11.85546875" style="263" customWidth="1"/>
    <col min="14614" max="14614" width="9" style="263" customWidth="1"/>
    <col min="14615" max="14615" width="12.85546875" style="263" customWidth="1"/>
    <col min="14616" max="14616" width="13.7109375" style="263" customWidth="1"/>
    <col min="14617" max="14618" width="0" style="263" hidden="1" customWidth="1"/>
    <col min="14619" max="14619" width="13.5703125" style="263" customWidth="1"/>
    <col min="14620" max="14620" width="9" style="263" customWidth="1"/>
    <col min="14621" max="14621" width="13.28515625" style="263" customWidth="1"/>
    <col min="14622" max="14622" width="9" style="263" customWidth="1"/>
    <col min="14623" max="14623" width="10.85546875" style="263" customWidth="1"/>
    <col min="14624" max="14624" width="13.5703125" style="263" customWidth="1"/>
    <col min="14625" max="14625" width="9" style="263" customWidth="1"/>
    <col min="14626" max="14626" width="11.5703125" style="263" customWidth="1"/>
    <col min="14627" max="14627" width="9" style="263" customWidth="1"/>
    <col min="14628" max="14628" width="10.140625" style="263" customWidth="1"/>
    <col min="14629" max="14629" width="9" style="263" customWidth="1"/>
    <col min="14630" max="14630" width="11.42578125" style="263" customWidth="1"/>
    <col min="14631" max="14633" width="9.140625" style="263"/>
    <col min="14634" max="14634" width="12.85546875" style="263" customWidth="1"/>
    <col min="14635" max="14845" width="9.140625" style="263"/>
    <col min="14846" max="14846" width="6.140625" style="263" customWidth="1"/>
    <col min="14847" max="14847" width="27" style="263" customWidth="1"/>
    <col min="14848" max="14848" width="13.7109375" style="263" customWidth="1"/>
    <col min="14849" max="14850" width="12.28515625" style="263" customWidth="1"/>
    <col min="14851" max="14851" width="14" style="263" customWidth="1"/>
    <col min="14852" max="14852" width="10.42578125" style="263" customWidth="1"/>
    <col min="14853" max="14853" width="10.28515625" style="263" customWidth="1"/>
    <col min="14854" max="14854" width="13.42578125" style="263" customWidth="1"/>
    <col min="14855" max="14855" width="9" style="263" customWidth="1"/>
    <col min="14856" max="14857" width="11.85546875" style="263" customWidth="1"/>
    <col min="14858" max="14860" width="13.7109375" style="263" customWidth="1"/>
    <col min="14861" max="14861" width="14.28515625" style="263" customWidth="1"/>
    <col min="14862" max="14862" width="13.28515625" style="263" customWidth="1"/>
    <col min="14863" max="14863" width="14.28515625" style="263" customWidth="1"/>
    <col min="14864" max="14864" width="12.5703125" style="263" customWidth="1"/>
    <col min="14865" max="14866" width="0" style="263" hidden="1" customWidth="1"/>
    <col min="14867" max="14867" width="11.5703125" style="263" customWidth="1"/>
    <col min="14868" max="14868" width="11" style="263" customWidth="1"/>
    <col min="14869" max="14869" width="11.85546875" style="263" customWidth="1"/>
    <col min="14870" max="14870" width="9" style="263" customWidth="1"/>
    <col min="14871" max="14871" width="12.85546875" style="263" customWidth="1"/>
    <col min="14872" max="14872" width="13.7109375" style="263" customWidth="1"/>
    <col min="14873" max="14874" width="0" style="263" hidden="1" customWidth="1"/>
    <col min="14875" max="14875" width="13.5703125" style="263" customWidth="1"/>
    <col min="14876" max="14876" width="9" style="263" customWidth="1"/>
    <col min="14877" max="14877" width="13.28515625" style="263" customWidth="1"/>
    <col min="14878" max="14878" width="9" style="263" customWidth="1"/>
    <col min="14879" max="14879" width="10.85546875" style="263" customWidth="1"/>
    <col min="14880" max="14880" width="13.5703125" style="263" customWidth="1"/>
    <col min="14881" max="14881" width="9" style="263" customWidth="1"/>
    <col min="14882" max="14882" width="11.5703125" style="263" customWidth="1"/>
    <col min="14883" max="14883" width="9" style="263" customWidth="1"/>
    <col min="14884" max="14884" width="10.140625" style="263" customWidth="1"/>
    <col min="14885" max="14885" width="9" style="263" customWidth="1"/>
    <col min="14886" max="14886" width="11.42578125" style="263" customWidth="1"/>
    <col min="14887" max="14889" width="9.140625" style="263"/>
    <col min="14890" max="14890" width="12.85546875" style="263" customWidth="1"/>
    <col min="14891" max="15101" width="9.140625" style="263"/>
    <col min="15102" max="15102" width="6.140625" style="263" customWidth="1"/>
    <col min="15103" max="15103" width="27" style="263" customWidth="1"/>
    <col min="15104" max="15104" width="13.7109375" style="263" customWidth="1"/>
    <col min="15105" max="15106" width="12.28515625" style="263" customWidth="1"/>
    <col min="15107" max="15107" width="14" style="263" customWidth="1"/>
    <col min="15108" max="15108" width="10.42578125" style="263" customWidth="1"/>
    <col min="15109" max="15109" width="10.28515625" style="263" customWidth="1"/>
    <col min="15110" max="15110" width="13.42578125" style="263" customWidth="1"/>
    <col min="15111" max="15111" width="9" style="263" customWidth="1"/>
    <col min="15112" max="15113" width="11.85546875" style="263" customWidth="1"/>
    <col min="15114" max="15116" width="13.7109375" style="263" customWidth="1"/>
    <col min="15117" max="15117" width="14.28515625" style="263" customWidth="1"/>
    <col min="15118" max="15118" width="13.28515625" style="263" customWidth="1"/>
    <col min="15119" max="15119" width="14.28515625" style="263" customWidth="1"/>
    <col min="15120" max="15120" width="12.5703125" style="263" customWidth="1"/>
    <col min="15121" max="15122" width="0" style="263" hidden="1" customWidth="1"/>
    <col min="15123" max="15123" width="11.5703125" style="263" customWidth="1"/>
    <col min="15124" max="15124" width="11" style="263" customWidth="1"/>
    <col min="15125" max="15125" width="11.85546875" style="263" customWidth="1"/>
    <col min="15126" max="15126" width="9" style="263" customWidth="1"/>
    <col min="15127" max="15127" width="12.85546875" style="263" customWidth="1"/>
    <col min="15128" max="15128" width="13.7109375" style="263" customWidth="1"/>
    <col min="15129" max="15130" width="0" style="263" hidden="1" customWidth="1"/>
    <col min="15131" max="15131" width="13.5703125" style="263" customWidth="1"/>
    <col min="15132" max="15132" width="9" style="263" customWidth="1"/>
    <col min="15133" max="15133" width="13.28515625" style="263" customWidth="1"/>
    <col min="15134" max="15134" width="9" style="263" customWidth="1"/>
    <col min="15135" max="15135" width="10.85546875" style="263" customWidth="1"/>
    <col min="15136" max="15136" width="13.5703125" style="263" customWidth="1"/>
    <col min="15137" max="15137" width="9" style="263" customWidth="1"/>
    <col min="15138" max="15138" width="11.5703125" style="263" customWidth="1"/>
    <col min="15139" max="15139" width="9" style="263" customWidth="1"/>
    <col min="15140" max="15140" width="10.140625" style="263" customWidth="1"/>
    <col min="15141" max="15141" width="9" style="263" customWidth="1"/>
    <col min="15142" max="15142" width="11.42578125" style="263" customWidth="1"/>
    <col min="15143" max="15145" width="9.140625" style="263"/>
    <col min="15146" max="15146" width="12.85546875" style="263" customWidth="1"/>
    <col min="15147" max="15357" width="9.140625" style="263"/>
    <col min="15358" max="15358" width="6.140625" style="263" customWidth="1"/>
    <col min="15359" max="15359" width="27" style="263" customWidth="1"/>
    <col min="15360" max="15360" width="13.7109375" style="263" customWidth="1"/>
    <col min="15361" max="15362" width="12.28515625" style="263" customWidth="1"/>
    <col min="15363" max="15363" width="14" style="263" customWidth="1"/>
    <col min="15364" max="15364" width="10.42578125" style="263" customWidth="1"/>
    <col min="15365" max="15365" width="10.28515625" style="263" customWidth="1"/>
    <col min="15366" max="15366" width="13.42578125" style="263" customWidth="1"/>
    <col min="15367" max="15367" width="9" style="263" customWidth="1"/>
    <col min="15368" max="15369" width="11.85546875" style="263" customWidth="1"/>
    <col min="15370" max="15372" width="13.7109375" style="263" customWidth="1"/>
    <col min="15373" max="15373" width="14.28515625" style="263" customWidth="1"/>
    <col min="15374" max="15374" width="13.28515625" style="263" customWidth="1"/>
    <col min="15375" max="15375" width="14.28515625" style="263" customWidth="1"/>
    <col min="15376" max="15376" width="12.5703125" style="263" customWidth="1"/>
    <col min="15377" max="15378" width="0" style="263" hidden="1" customWidth="1"/>
    <col min="15379" max="15379" width="11.5703125" style="263" customWidth="1"/>
    <col min="15380" max="15380" width="11" style="263" customWidth="1"/>
    <col min="15381" max="15381" width="11.85546875" style="263" customWidth="1"/>
    <col min="15382" max="15382" width="9" style="263" customWidth="1"/>
    <col min="15383" max="15383" width="12.85546875" style="263" customWidth="1"/>
    <col min="15384" max="15384" width="13.7109375" style="263" customWidth="1"/>
    <col min="15385" max="15386" width="0" style="263" hidden="1" customWidth="1"/>
    <col min="15387" max="15387" width="13.5703125" style="263" customWidth="1"/>
    <col min="15388" max="15388" width="9" style="263" customWidth="1"/>
    <col min="15389" max="15389" width="13.28515625" style="263" customWidth="1"/>
    <col min="15390" max="15390" width="9" style="263" customWidth="1"/>
    <col min="15391" max="15391" width="10.85546875" style="263" customWidth="1"/>
    <col min="15392" max="15392" width="13.5703125" style="263" customWidth="1"/>
    <col min="15393" max="15393" width="9" style="263" customWidth="1"/>
    <col min="15394" max="15394" width="11.5703125" style="263" customWidth="1"/>
    <col min="15395" max="15395" width="9" style="263" customWidth="1"/>
    <col min="15396" max="15396" width="10.140625" style="263" customWidth="1"/>
    <col min="15397" max="15397" width="9" style="263" customWidth="1"/>
    <col min="15398" max="15398" width="11.42578125" style="263" customWidth="1"/>
    <col min="15399" max="15401" width="9.140625" style="263"/>
    <col min="15402" max="15402" width="12.85546875" style="263" customWidth="1"/>
    <col min="15403" max="15613" width="9.140625" style="263"/>
    <col min="15614" max="15614" width="6.140625" style="263" customWidth="1"/>
    <col min="15615" max="15615" width="27" style="263" customWidth="1"/>
    <col min="15616" max="15616" width="13.7109375" style="263" customWidth="1"/>
    <col min="15617" max="15618" width="12.28515625" style="263" customWidth="1"/>
    <col min="15619" max="15619" width="14" style="263" customWidth="1"/>
    <col min="15620" max="15620" width="10.42578125" style="263" customWidth="1"/>
    <col min="15621" max="15621" width="10.28515625" style="263" customWidth="1"/>
    <col min="15622" max="15622" width="13.42578125" style="263" customWidth="1"/>
    <col min="15623" max="15623" width="9" style="263" customWidth="1"/>
    <col min="15624" max="15625" width="11.85546875" style="263" customWidth="1"/>
    <col min="15626" max="15628" width="13.7109375" style="263" customWidth="1"/>
    <col min="15629" max="15629" width="14.28515625" style="263" customWidth="1"/>
    <col min="15630" max="15630" width="13.28515625" style="263" customWidth="1"/>
    <col min="15631" max="15631" width="14.28515625" style="263" customWidth="1"/>
    <col min="15632" max="15632" width="12.5703125" style="263" customWidth="1"/>
    <col min="15633" max="15634" width="0" style="263" hidden="1" customWidth="1"/>
    <col min="15635" max="15635" width="11.5703125" style="263" customWidth="1"/>
    <col min="15636" max="15636" width="11" style="263" customWidth="1"/>
    <col min="15637" max="15637" width="11.85546875" style="263" customWidth="1"/>
    <col min="15638" max="15638" width="9" style="263" customWidth="1"/>
    <col min="15639" max="15639" width="12.85546875" style="263" customWidth="1"/>
    <col min="15640" max="15640" width="13.7109375" style="263" customWidth="1"/>
    <col min="15641" max="15642" width="0" style="263" hidden="1" customWidth="1"/>
    <col min="15643" max="15643" width="13.5703125" style="263" customWidth="1"/>
    <col min="15644" max="15644" width="9" style="263" customWidth="1"/>
    <col min="15645" max="15645" width="13.28515625" style="263" customWidth="1"/>
    <col min="15646" max="15646" width="9" style="263" customWidth="1"/>
    <col min="15647" max="15647" width="10.85546875" style="263" customWidth="1"/>
    <col min="15648" max="15648" width="13.5703125" style="263" customWidth="1"/>
    <col min="15649" max="15649" width="9" style="263" customWidth="1"/>
    <col min="15650" max="15650" width="11.5703125" style="263" customWidth="1"/>
    <col min="15651" max="15651" width="9" style="263" customWidth="1"/>
    <col min="15652" max="15652" width="10.140625" style="263" customWidth="1"/>
    <col min="15653" max="15653" width="9" style="263" customWidth="1"/>
    <col min="15654" max="15654" width="11.42578125" style="263" customWidth="1"/>
    <col min="15655" max="15657" width="9.140625" style="263"/>
    <col min="15658" max="15658" width="12.85546875" style="263" customWidth="1"/>
    <col min="15659" max="15869" width="9.140625" style="263"/>
    <col min="15870" max="15870" width="6.140625" style="263" customWidth="1"/>
    <col min="15871" max="15871" width="27" style="263" customWidth="1"/>
    <col min="15872" max="15872" width="13.7109375" style="263" customWidth="1"/>
    <col min="15873" max="15874" width="12.28515625" style="263" customWidth="1"/>
    <col min="15875" max="15875" width="14" style="263" customWidth="1"/>
    <col min="15876" max="15876" width="10.42578125" style="263" customWidth="1"/>
    <col min="15877" max="15877" width="10.28515625" style="263" customWidth="1"/>
    <col min="15878" max="15878" width="13.42578125" style="263" customWidth="1"/>
    <col min="15879" max="15879" width="9" style="263" customWidth="1"/>
    <col min="15880" max="15881" width="11.85546875" style="263" customWidth="1"/>
    <col min="15882" max="15884" width="13.7109375" style="263" customWidth="1"/>
    <col min="15885" max="15885" width="14.28515625" style="263" customWidth="1"/>
    <col min="15886" max="15886" width="13.28515625" style="263" customWidth="1"/>
    <col min="15887" max="15887" width="14.28515625" style="263" customWidth="1"/>
    <col min="15888" max="15888" width="12.5703125" style="263" customWidth="1"/>
    <col min="15889" max="15890" width="0" style="263" hidden="1" customWidth="1"/>
    <col min="15891" max="15891" width="11.5703125" style="263" customWidth="1"/>
    <col min="15892" max="15892" width="11" style="263" customWidth="1"/>
    <col min="15893" max="15893" width="11.85546875" style="263" customWidth="1"/>
    <col min="15894" max="15894" width="9" style="263" customWidth="1"/>
    <col min="15895" max="15895" width="12.85546875" style="263" customWidth="1"/>
    <col min="15896" max="15896" width="13.7109375" style="263" customWidth="1"/>
    <col min="15897" max="15898" width="0" style="263" hidden="1" customWidth="1"/>
    <col min="15899" max="15899" width="13.5703125" style="263" customWidth="1"/>
    <col min="15900" max="15900" width="9" style="263" customWidth="1"/>
    <col min="15901" max="15901" width="13.28515625" style="263" customWidth="1"/>
    <col min="15902" max="15902" width="9" style="263" customWidth="1"/>
    <col min="15903" max="15903" width="10.85546875" style="263" customWidth="1"/>
    <col min="15904" max="15904" width="13.5703125" style="263" customWidth="1"/>
    <col min="15905" max="15905" width="9" style="263" customWidth="1"/>
    <col min="15906" max="15906" width="11.5703125" style="263" customWidth="1"/>
    <col min="15907" max="15907" width="9" style="263" customWidth="1"/>
    <col min="15908" max="15908" width="10.140625" style="263" customWidth="1"/>
    <col min="15909" max="15909" width="9" style="263" customWidth="1"/>
    <col min="15910" max="15910" width="11.42578125" style="263" customWidth="1"/>
    <col min="15911" max="15913" width="9.140625" style="263"/>
    <col min="15914" max="15914" width="12.85546875" style="263" customWidth="1"/>
    <col min="15915" max="16125" width="9.140625" style="263"/>
    <col min="16126" max="16126" width="6.140625" style="263" customWidth="1"/>
    <col min="16127" max="16127" width="27" style="263" customWidth="1"/>
    <col min="16128" max="16128" width="13.7109375" style="263" customWidth="1"/>
    <col min="16129" max="16130" width="12.28515625" style="263" customWidth="1"/>
    <col min="16131" max="16131" width="14" style="263" customWidth="1"/>
    <col min="16132" max="16132" width="10.42578125" style="263" customWidth="1"/>
    <col min="16133" max="16133" width="10.28515625" style="263" customWidth="1"/>
    <col min="16134" max="16134" width="13.42578125" style="263" customWidth="1"/>
    <col min="16135" max="16135" width="9" style="263" customWidth="1"/>
    <col min="16136" max="16137" width="11.85546875" style="263" customWidth="1"/>
    <col min="16138" max="16140" width="13.7109375" style="263" customWidth="1"/>
    <col min="16141" max="16141" width="14.28515625" style="263" customWidth="1"/>
    <col min="16142" max="16142" width="13.28515625" style="263" customWidth="1"/>
    <col min="16143" max="16143" width="14.28515625" style="263" customWidth="1"/>
    <col min="16144" max="16144" width="12.5703125" style="263" customWidth="1"/>
    <col min="16145" max="16146" width="0" style="263" hidden="1" customWidth="1"/>
    <col min="16147" max="16147" width="11.5703125" style="263" customWidth="1"/>
    <col min="16148" max="16148" width="11" style="263" customWidth="1"/>
    <col min="16149" max="16149" width="11.85546875" style="263" customWidth="1"/>
    <col min="16150" max="16150" width="9" style="263" customWidth="1"/>
    <col min="16151" max="16151" width="12.85546875" style="263" customWidth="1"/>
    <col min="16152" max="16152" width="13.7109375" style="263" customWidth="1"/>
    <col min="16153" max="16154" width="0" style="263" hidden="1" customWidth="1"/>
    <col min="16155" max="16155" width="13.5703125" style="263" customWidth="1"/>
    <col min="16156" max="16156" width="9" style="263" customWidth="1"/>
    <col min="16157" max="16157" width="13.28515625" style="263" customWidth="1"/>
    <col min="16158" max="16158" width="9" style="263" customWidth="1"/>
    <col min="16159" max="16159" width="10.85546875" style="263" customWidth="1"/>
    <col min="16160" max="16160" width="13.5703125" style="263" customWidth="1"/>
    <col min="16161" max="16161" width="9" style="263" customWidth="1"/>
    <col min="16162" max="16162" width="11.5703125" style="263" customWidth="1"/>
    <col min="16163" max="16163" width="9" style="263" customWidth="1"/>
    <col min="16164" max="16164" width="10.140625" style="263" customWidth="1"/>
    <col min="16165" max="16165" width="9" style="263" customWidth="1"/>
    <col min="16166" max="16166" width="11.42578125" style="263" customWidth="1"/>
    <col min="16167" max="16169" width="9.140625" style="263"/>
    <col min="16170" max="16170" width="12.85546875" style="263" customWidth="1"/>
    <col min="16171" max="16384" width="9.140625" style="263"/>
  </cols>
  <sheetData>
    <row r="1" spans="1:49" ht="21" customHeight="1">
      <c r="A1" s="259"/>
      <c r="B1" s="259"/>
      <c r="C1" s="260"/>
      <c r="D1" s="260"/>
      <c r="E1" s="260"/>
      <c r="F1" s="260"/>
      <c r="G1" s="261"/>
      <c r="H1" s="260"/>
      <c r="I1" s="261"/>
      <c r="J1" s="260"/>
      <c r="K1" s="260"/>
      <c r="L1" s="260"/>
      <c r="M1" s="261"/>
      <c r="N1" s="261"/>
      <c r="O1" s="261"/>
      <c r="P1" s="261"/>
      <c r="Q1" s="260"/>
      <c r="R1" s="260"/>
      <c r="S1" s="260"/>
      <c r="T1" s="260"/>
      <c r="U1" s="260"/>
      <c r="V1" s="261"/>
      <c r="W1" s="260"/>
      <c r="X1" s="261"/>
      <c r="Y1" s="260"/>
      <c r="Z1" s="260"/>
      <c r="AA1" s="261"/>
      <c r="AB1" s="261"/>
      <c r="AC1" s="261"/>
      <c r="AD1" s="1110" t="s">
        <v>715</v>
      </c>
      <c r="AE1" s="1110"/>
      <c r="AF1" s="260"/>
      <c r="AG1" s="260"/>
      <c r="AH1" s="261"/>
      <c r="AI1" s="260"/>
      <c r="AJ1" s="261"/>
      <c r="AK1" s="260"/>
      <c r="AL1" s="260"/>
      <c r="AM1" s="260"/>
      <c r="AN1" s="261"/>
      <c r="AO1" s="262" t="s">
        <v>715</v>
      </c>
    </row>
    <row r="2" spans="1:49" ht="21" customHeight="1">
      <c r="A2" s="1110" t="s">
        <v>716</v>
      </c>
      <c r="B2" s="1110"/>
      <c r="C2" s="1110"/>
      <c r="D2" s="1110"/>
      <c r="E2" s="1110"/>
      <c r="F2" s="1110"/>
      <c r="G2" s="1110"/>
      <c r="H2" s="1110"/>
      <c r="I2" s="1110"/>
      <c r="J2" s="1110"/>
      <c r="K2" s="1110"/>
      <c r="L2" s="1110"/>
      <c r="M2" s="1110"/>
      <c r="N2" s="1110"/>
      <c r="O2" s="1110"/>
      <c r="P2" s="1110"/>
      <c r="Q2" s="1110"/>
      <c r="R2" s="1110"/>
      <c r="S2" s="1110"/>
      <c r="T2" s="1110"/>
      <c r="U2" s="1110"/>
      <c r="V2" s="1110"/>
      <c r="W2" s="1110"/>
      <c r="X2" s="1110"/>
      <c r="Y2" s="1110"/>
      <c r="Z2" s="1110"/>
      <c r="AA2" s="1110"/>
      <c r="AB2" s="1110"/>
      <c r="AC2" s="1110"/>
      <c r="AD2" s="1110"/>
      <c r="AE2" s="1110"/>
      <c r="AF2" s="1110"/>
      <c r="AG2" s="1110"/>
      <c r="AH2" s="1110"/>
      <c r="AI2" s="1110"/>
      <c r="AJ2" s="1110"/>
      <c r="AK2" s="1110"/>
      <c r="AL2" s="1110"/>
      <c r="AM2" s="1110"/>
      <c r="AN2" s="1110"/>
      <c r="AO2" s="1110"/>
    </row>
    <row r="3" spans="1:49" ht="18" customHeight="1">
      <c r="A3" s="1111" t="s">
        <v>693</v>
      </c>
      <c r="B3" s="1111"/>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c r="AG3" s="1111"/>
      <c r="AH3" s="1111"/>
      <c r="AI3" s="1111"/>
      <c r="AJ3" s="1111"/>
      <c r="AK3" s="1111"/>
      <c r="AL3" s="1111"/>
      <c r="AM3" s="1111"/>
      <c r="AN3" s="1111"/>
      <c r="AO3" s="1111"/>
    </row>
    <row r="4" spans="1:49" ht="19.5" customHeight="1">
      <c r="A4" s="265"/>
      <c r="B4" s="512"/>
      <c r="C4" s="266"/>
      <c r="D4" s="266"/>
      <c r="E4" s="266"/>
      <c r="F4" s="266"/>
      <c r="G4" s="266"/>
      <c r="H4" s="266"/>
      <c r="I4" s="1111"/>
      <c r="J4" s="1111"/>
      <c r="K4" s="264"/>
      <c r="L4" s="264"/>
      <c r="M4" s="1111"/>
      <c r="N4" s="1111"/>
      <c r="O4" s="1111"/>
      <c r="P4" s="1111"/>
      <c r="Q4" s="1111"/>
      <c r="R4" s="266"/>
      <c r="S4" s="704"/>
      <c r="T4" s="266"/>
      <c r="U4" s="266"/>
      <c r="V4" s="266"/>
      <c r="W4" s="266"/>
      <c r="X4" s="1111"/>
      <c r="Y4" s="1111"/>
      <c r="Z4" s="264"/>
      <c r="AA4" s="1111"/>
      <c r="AB4" s="1111"/>
      <c r="AC4" s="1111"/>
      <c r="AD4" s="1111"/>
      <c r="AE4" s="1111"/>
      <c r="AF4" s="266"/>
      <c r="AG4" s="1111"/>
      <c r="AH4" s="1111"/>
      <c r="AI4" s="1111"/>
      <c r="AJ4" s="1111"/>
      <c r="AK4" s="1111"/>
      <c r="AL4" s="264"/>
      <c r="AM4" s="266"/>
      <c r="AN4" s="267"/>
      <c r="AO4" s="267" t="s">
        <v>2</v>
      </c>
    </row>
    <row r="5" spans="1:49" s="268" customFormat="1" ht="24.75" customHeight="1">
      <c r="A5" s="1133" t="s">
        <v>3</v>
      </c>
      <c r="B5" s="1125" t="s">
        <v>717</v>
      </c>
      <c r="C5" s="1132" t="s">
        <v>718</v>
      </c>
      <c r="D5" s="1132"/>
      <c r="E5" s="1132"/>
      <c r="F5" s="1132"/>
      <c r="G5" s="1132"/>
      <c r="H5" s="1132"/>
      <c r="I5" s="1132"/>
      <c r="J5" s="1132"/>
      <c r="K5" s="1132"/>
      <c r="L5" s="1132"/>
      <c r="M5" s="1132"/>
      <c r="N5" s="1132"/>
      <c r="O5" s="1132"/>
      <c r="P5" s="1132"/>
      <c r="Q5" s="1132"/>
      <c r="R5" s="1132" t="s">
        <v>719</v>
      </c>
      <c r="S5" s="1132"/>
      <c r="T5" s="1132"/>
      <c r="U5" s="1132"/>
      <c r="V5" s="1132"/>
      <c r="W5" s="1132"/>
      <c r="X5" s="1132"/>
      <c r="Y5" s="1132"/>
      <c r="Z5" s="1132"/>
      <c r="AA5" s="1132"/>
      <c r="AB5" s="1132"/>
      <c r="AC5" s="1132"/>
      <c r="AD5" s="1132"/>
      <c r="AE5" s="1132"/>
      <c r="AF5" s="1132" t="s">
        <v>461</v>
      </c>
      <c r="AG5" s="1132"/>
      <c r="AH5" s="1132"/>
      <c r="AI5" s="1132"/>
      <c r="AJ5" s="1132"/>
      <c r="AK5" s="1132"/>
      <c r="AL5" s="1132"/>
      <c r="AM5" s="1132"/>
      <c r="AN5" s="1132"/>
      <c r="AO5" s="1132"/>
    </row>
    <row r="6" spans="1:49" s="268" customFormat="1" ht="24.75" customHeight="1">
      <c r="A6" s="1134"/>
      <c r="B6" s="1134"/>
      <c r="C6" s="1125" t="s">
        <v>89</v>
      </c>
      <c r="D6" s="1136" t="s">
        <v>99</v>
      </c>
      <c r="E6" s="1137"/>
      <c r="F6" s="1137"/>
      <c r="G6" s="1137"/>
      <c r="H6" s="1137"/>
      <c r="I6" s="1137"/>
      <c r="J6" s="1137"/>
      <c r="K6" s="1137"/>
      <c r="L6" s="1138"/>
      <c r="M6" s="1125" t="s">
        <v>63</v>
      </c>
      <c r="N6" s="1139" t="s">
        <v>63</v>
      </c>
      <c r="O6" s="1140"/>
      <c r="P6" s="1140"/>
      <c r="Q6" s="1141"/>
      <c r="R6" s="1125" t="s">
        <v>89</v>
      </c>
      <c r="S6" s="1132" t="s">
        <v>99</v>
      </c>
      <c r="T6" s="1132"/>
      <c r="U6" s="1132"/>
      <c r="V6" s="1132"/>
      <c r="W6" s="1132"/>
      <c r="X6" s="1132"/>
      <c r="Y6" s="1132"/>
      <c r="Z6" s="1132"/>
      <c r="AA6" s="1125" t="s">
        <v>63</v>
      </c>
      <c r="AB6" s="1139" t="s">
        <v>63</v>
      </c>
      <c r="AC6" s="1140"/>
      <c r="AD6" s="1140"/>
      <c r="AE6" s="1141"/>
      <c r="AF6" s="1125" t="s">
        <v>89</v>
      </c>
      <c r="AG6" s="1132" t="s">
        <v>99</v>
      </c>
      <c r="AH6" s="1132"/>
      <c r="AI6" s="1132"/>
      <c r="AJ6" s="1132"/>
      <c r="AK6" s="1132"/>
      <c r="AL6" s="1132"/>
      <c r="AM6" s="1125" t="s">
        <v>63</v>
      </c>
      <c r="AN6" s="1132" t="s">
        <v>40</v>
      </c>
      <c r="AO6" s="1132"/>
    </row>
    <row r="7" spans="1:49" s="268" customFormat="1" ht="24.75" customHeight="1">
      <c r="A7" s="1134"/>
      <c r="B7" s="1134"/>
      <c r="C7" s="1126"/>
      <c r="D7" s="1125" t="s">
        <v>89</v>
      </c>
      <c r="E7" s="1132" t="s">
        <v>345</v>
      </c>
      <c r="F7" s="1132"/>
      <c r="G7" s="1132" t="s">
        <v>40</v>
      </c>
      <c r="H7" s="1132"/>
      <c r="I7" s="1131" t="s">
        <v>720</v>
      </c>
      <c r="J7" s="1131" t="s">
        <v>721</v>
      </c>
      <c r="K7" s="1131" t="s">
        <v>360</v>
      </c>
      <c r="L7" s="1131" t="s">
        <v>722</v>
      </c>
      <c r="M7" s="1126"/>
      <c r="N7" s="1132" t="s">
        <v>345</v>
      </c>
      <c r="O7" s="1132"/>
      <c r="P7" s="1132" t="s">
        <v>40</v>
      </c>
      <c r="Q7" s="1132"/>
      <c r="R7" s="1126"/>
      <c r="S7" s="1125" t="s">
        <v>89</v>
      </c>
      <c r="T7" s="1132" t="s">
        <v>345</v>
      </c>
      <c r="U7" s="1132"/>
      <c r="V7" s="1132" t="s">
        <v>40</v>
      </c>
      <c r="W7" s="1132"/>
      <c r="X7" s="1131" t="s">
        <v>720</v>
      </c>
      <c r="Y7" s="1131" t="s">
        <v>721</v>
      </c>
      <c r="Z7" s="1131" t="s">
        <v>360</v>
      </c>
      <c r="AA7" s="1126"/>
      <c r="AB7" s="1132" t="s">
        <v>345</v>
      </c>
      <c r="AC7" s="1132"/>
      <c r="AD7" s="1132" t="s">
        <v>40</v>
      </c>
      <c r="AE7" s="1132"/>
      <c r="AF7" s="1126"/>
      <c r="AG7" s="1125" t="s">
        <v>89</v>
      </c>
      <c r="AH7" s="1132" t="s">
        <v>40</v>
      </c>
      <c r="AI7" s="1132"/>
      <c r="AJ7" s="1131" t="s">
        <v>720</v>
      </c>
      <c r="AK7" s="1131" t="s">
        <v>721</v>
      </c>
      <c r="AL7" s="1131" t="s">
        <v>360</v>
      </c>
      <c r="AM7" s="1126"/>
      <c r="AN7" s="1124" t="s">
        <v>723</v>
      </c>
      <c r="AO7" s="1124" t="s">
        <v>724</v>
      </c>
    </row>
    <row r="8" spans="1:49" s="268" customFormat="1" ht="24.75" customHeight="1">
      <c r="A8" s="1134"/>
      <c r="B8" s="1134"/>
      <c r="C8" s="1126"/>
      <c r="D8" s="1126"/>
      <c r="E8" s="1126" t="s">
        <v>725</v>
      </c>
      <c r="F8" s="1126" t="s">
        <v>726</v>
      </c>
      <c r="G8" s="1124" t="s">
        <v>723</v>
      </c>
      <c r="H8" s="1124" t="s">
        <v>49</v>
      </c>
      <c r="I8" s="1131"/>
      <c r="J8" s="1131"/>
      <c r="K8" s="1131"/>
      <c r="L8" s="1131"/>
      <c r="M8" s="1126"/>
      <c r="N8" s="1125" t="s">
        <v>725</v>
      </c>
      <c r="O8" s="1125" t="s">
        <v>726</v>
      </c>
      <c r="P8" s="1128" t="s">
        <v>723</v>
      </c>
      <c r="Q8" s="1128" t="s">
        <v>724</v>
      </c>
      <c r="R8" s="1126"/>
      <c r="S8" s="1126"/>
      <c r="T8" s="1126" t="s">
        <v>725</v>
      </c>
      <c r="U8" s="1126" t="s">
        <v>727</v>
      </c>
      <c r="V8" s="1124" t="s">
        <v>723</v>
      </c>
      <c r="W8" s="1124" t="s">
        <v>49</v>
      </c>
      <c r="X8" s="1131"/>
      <c r="Y8" s="1131"/>
      <c r="Z8" s="1131"/>
      <c r="AA8" s="1126"/>
      <c r="AB8" s="1125" t="s">
        <v>725</v>
      </c>
      <c r="AC8" s="1125" t="s">
        <v>726</v>
      </c>
      <c r="AD8" s="1128" t="s">
        <v>723</v>
      </c>
      <c r="AE8" s="1128" t="s">
        <v>724</v>
      </c>
      <c r="AF8" s="1126"/>
      <c r="AG8" s="1126"/>
      <c r="AH8" s="1124" t="s">
        <v>723</v>
      </c>
      <c r="AI8" s="1124" t="s">
        <v>49</v>
      </c>
      <c r="AJ8" s="1131"/>
      <c r="AK8" s="1131"/>
      <c r="AL8" s="1131"/>
      <c r="AM8" s="1126"/>
      <c r="AN8" s="1124"/>
      <c r="AO8" s="1124"/>
    </row>
    <row r="9" spans="1:49" s="268" customFormat="1" ht="24.75" customHeight="1">
      <c r="A9" s="1134"/>
      <c r="B9" s="1134"/>
      <c r="C9" s="1126"/>
      <c r="D9" s="1126"/>
      <c r="E9" s="1126"/>
      <c r="F9" s="1126"/>
      <c r="G9" s="1124"/>
      <c r="H9" s="1124"/>
      <c r="I9" s="1131"/>
      <c r="J9" s="1131"/>
      <c r="K9" s="1131"/>
      <c r="L9" s="1131"/>
      <c r="M9" s="1126"/>
      <c r="N9" s="1126"/>
      <c r="O9" s="1126"/>
      <c r="P9" s="1129"/>
      <c r="Q9" s="1129"/>
      <c r="R9" s="1126"/>
      <c r="S9" s="1126"/>
      <c r="T9" s="1126"/>
      <c r="U9" s="1126"/>
      <c r="V9" s="1124"/>
      <c r="W9" s="1124"/>
      <c r="X9" s="1131"/>
      <c r="Y9" s="1131"/>
      <c r="Z9" s="1131"/>
      <c r="AA9" s="1126"/>
      <c r="AB9" s="1126"/>
      <c r="AC9" s="1126"/>
      <c r="AD9" s="1129"/>
      <c r="AE9" s="1129"/>
      <c r="AF9" s="1126"/>
      <c r="AG9" s="1126"/>
      <c r="AH9" s="1124"/>
      <c r="AI9" s="1124"/>
      <c r="AJ9" s="1131"/>
      <c r="AK9" s="1131"/>
      <c r="AL9" s="1131"/>
      <c r="AM9" s="1126"/>
      <c r="AN9" s="1124"/>
      <c r="AO9" s="1124"/>
    </row>
    <row r="10" spans="1:49" s="268" customFormat="1" ht="24.75" customHeight="1">
      <c r="A10" s="1134"/>
      <c r="B10" s="1134"/>
      <c r="C10" s="1126"/>
      <c r="D10" s="1126"/>
      <c r="E10" s="1126"/>
      <c r="F10" s="1126"/>
      <c r="G10" s="1124"/>
      <c r="H10" s="1124"/>
      <c r="I10" s="1131"/>
      <c r="J10" s="1131"/>
      <c r="K10" s="1131"/>
      <c r="L10" s="1131"/>
      <c r="M10" s="1126"/>
      <c r="N10" s="1126"/>
      <c r="O10" s="1126"/>
      <c r="P10" s="1129"/>
      <c r="Q10" s="1129"/>
      <c r="R10" s="1126"/>
      <c r="S10" s="1126"/>
      <c r="T10" s="1126"/>
      <c r="U10" s="1126"/>
      <c r="V10" s="1124"/>
      <c r="W10" s="1124"/>
      <c r="X10" s="1131"/>
      <c r="Y10" s="1131"/>
      <c r="Z10" s="1131"/>
      <c r="AA10" s="1126"/>
      <c r="AB10" s="1126"/>
      <c r="AC10" s="1126"/>
      <c r="AD10" s="1129"/>
      <c r="AE10" s="1129"/>
      <c r="AF10" s="1126"/>
      <c r="AG10" s="1126"/>
      <c r="AH10" s="1124"/>
      <c r="AI10" s="1124"/>
      <c r="AJ10" s="1131"/>
      <c r="AK10" s="1131"/>
      <c r="AL10" s="1131"/>
      <c r="AM10" s="1126"/>
      <c r="AN10" s="1124"/>
      <c r="AO10" s="1124"/>
    </row>
    <row r="11" spans="1:49" s="268" customFormat="1" ht="24.75" customHeight="1">
      <c r="A11" s="1134"/>
      <c r="B11" s="1134"/>
      <c r="C11" s="1126"/>
      <c r="D11" s="1126"/>
      <c r="E11" s="1126"/>
      <c r="F11" s="1126"/>
      <c r="G11" s="1124"/>
      <c r="H11" s="1124"/>
      <c r="I11" s="1131"/>
      <c r="J11" s="1131"/>
      <c r="K11" s="1131"/>
      <c r="L11" s="1131"/>
      <c r="M11" s="1126"/>
      <c r="N11" s="1126"/>
      <c r="O11" s="1126"/>
      <c r="P11" s="1129"/>
      <c r="Q11" s="1129"/>
      <c r="R11" s="1126"/>
      <c r="S11" s="1126"/>
      <c r="T11" s="1126"/>
      <c r="U11" s="1126"/>
      <c r="V11" s="1124"/>
      <c r="W11" s="1124"/>
      <c r="X11" s="1131"/>
      <c r="Y11" s="1131"/>
      <c r="Z11" s="1131"/>
      <c r="AA11" s="1126"/>
      <c r="AB11" s="1126"/>
      <c r="AC11" s="1126"/>
      <c r="AD11" s="1129"/>
      <c r="AE11" s="1129"/>
      <c r="AF11" s="1126"/>
      <c r="AG11" s="1126"/>
      <c r="AH11" s="1124"/>
      <c r="AI11" s="1124"/>
      <c r="AJ11" s="1131"/>
      <c r="AK11" s="1131"/>
      <c r="AL11" s="1131"/>
      <c r="AM11" s="1126"/>
      <c r="AN11" s="1124"/>
      <c r="AO11" s="1124"/>
    </row>
    <row r="12" spans="1:49" s="268" customFormat="1" ht="24.75" customHeight="1">
      <c r="A12" s="1134"/>
      <c r="B12" s="1134"/>
      <c r="C12" s="1126"/>
      <c r="D12" s="1126"/>
      <c r="E12" s="1126"/>
      <c r="F12" s="1126"/>
      <c r="G12" s="1124"/>
      <c r="H12" s="1124"/>
      <c r="I12" s="1131"/>
      <c r="J12" s="1131"/>
      <c r="K12" s="1131"/>
      <c r="L12" s="1131"/>
      <c r="M12" s="1126"/>
      <c r="N12" s="1126"/>
      <c r="O12" s="1126"/>
      <c r="P12" s="1129"/>
      <c r="Q12" s="1129"/>
      <c r="R12" s="1126"/>
      <c r="S12" s="1126"/>
      <c r="T12" s="1126"/>
      <c r="U12" s="1126"/>
      <c r="V12" s="1124"/>
      <c r="W12" s="1124"/>
      <c r="X12" s="1131"/>
      <c r="Y12" s="1131"/>
      <c r="Z12" s="1131"/>
      <c r="AA12" s="1126"/>
      <c r="AB12" s="1126"/>
      <c r="AC12" s="1126"/>
      <c r="AD12" s="1129"/>
      <c r="AE12" s="1129"/>
      <c r="AF12" s="1126"/>
      <c r="AG12" s="1126"/>
      <c r="AH12" s="1124"/>
      <c r="AI12" s="1124"/>
      <c r="AJ12" s="1131"/>
      <c r="AK12" s="1131"/>
      <c r="AL12" s="1131"/>
      <c r="AM12" s="1126"/>
      <c r="AN12" s="1124"/>
      <c r="AO12" s="1124"/>
    </row>
    <row r="13" spans="1:49" s="268" customFormat="1" ht="24.75" customHeight="1">
      <c r="A13" s="1134"/>
      <c r="B13" s="1134"/>
      <c r="C13" s="1126"/>
      <c r="D13" s="1126"/>
      <c r="E13" s="1126"/>
      <c r="F13" s="1126"/>
      <c r="G13" s="1124"/>
      <c r="H13" s="1124"/>
      <c r="I13" s="1131"/>
      <c r="J13" s="1131"/>
      <c r="K13" s="1131"/>
      <c r="L13" s="1131"/>
      <c r="M13" s="1126"/>
      <c r="N13" s="1126"/>
      <c r="O13" s="1126"/>
      <c r="P13" s="1129"/>
      <c r="Q13" s="1129"/>
      <c r="R13" s="1126"/>
      <c r="S13" s="1126"/>
      <c r="T13" s="1126"/>
      <c r="U13" s="1126"/>
      <c r="V13" s="1124"/>
      <c r="W13" s="1124"/>
      <c r="X13" s="1131"/>
      <c r="Y13" s="1131"/>
      <c r="Z13" s="1131"/>
      <c r="AA13" s="1126"/>
      <c r="AB13" s="1126"/>
      <c r="AC13" s="1126"/>
      <c r="AD13" s="1129"/>
      <c r="AE13" s="1129"/>
      <c r="AF13" s="1126"/>
      <c r="AG13" s="1126"/>
      <c r="AH13" s="1124"/>
      <c r="AI13" s="1124"/>
      <c r="AJ13" s="1131"/>
      <c r="AK13" s="1131"/>
      <c r="AL13" s="1131"/>
      <c r="AM13" s="1126"/>
      <c r="AN13" s="1124"/>
      <c r="AO13" s="1124"/>
    </row>
    <row r="14" spans="1:49" s="268" customFormat="1" ht="15.75" customHeight="1">
      <c r="A14" s="1135"/>
      <c r="B14" s="1135"/>
      <c r="C14" s="1127"/>
      <c r="D14" s="1127"/>
      <c r="E14" s="1127"/>
      <c r="F14" s="1127"/>
      <c r="G14" s="1124"/>
      <c r="H14" s="1124"/>
      <c r="I14" s="1131"/>
      <c r="J14" s="1131"/>
      <c r="K14" s="1131"/>
      <c r="L14" s="1131"/>
      <c r="M14" s="1127"/>
      <c r="N14" s="1127"/>
      <c r="O14" s="1127"/>
      <c r="P14" s="1130"/>
      <c r="Q14" s="1130"/>
      <c r="R14" s="1127"/>
      <c r="S14" s="1127"/>
      <c r="T14" s="1127"/>
      <c r="U14" s="1127"/>
      <c r="V14" s="1124"/>
      <c r="W14" s="1124"/>
      <c r="X14" s="1131"/>
      <c r="Y14" s="1131"/>
      <c r="Z14" s="1131"/>
      <c r="AA14" s="1127"/>
      <c r="AB14" s="1127"/>
      <c r="AC14" s="1127"/>
      <c r="AD14" s="1130"/>
      <c r="AE14" s="1130"/>
      <c r="AF14" s="1127"/>
      <c r="AG14" s="1127"/>
      <c r="AH14" s="1124"/>
      <c r="AI14" s="1124"/>
      <c r="AJ14" s="1131"/>
      <c r="AK14" s="1131"/>
      <c r="AL14" s="1131"/>
      <c r="AM14" s="1127"/>
      <c r="AN14" s="1124"/>
      <c r="AO14" s="1124"/>
    </row>
    <row r="15" spans="1:49" s="707" customFormat="1" ht="27.75" customHeight="1">
      <c r="A15" s="705" t="s">
        <v>10</v>
      </c>
      <c r="B15" s="705" t="s">
        <v>11</v>
      </c>
      <c r="C15" s="705">
        <v>1</v>
      </c>
      <c r="D15" s="706">
        <f>2</f>
        <v>2</v>
      </c>
      <c r="E15" s="706" t="s">
        <v>351</v>
      </c>
      <c r="F15" s="706" t="s">
        <v>352</v>
      </c>
      <c r="G15" s="706">
        <f>D15+1</f>
        <v>3</v>
      </c>
      <c r="H15" s="706">
        <f t="shared" ref="H15:AE15" si="0">G15+1</f>
        <v>4</v>
      </c>
      <c r="I15" s="706">
        <f t="shared" si="0"/>
        <v>5</v>
      </c>
      <c r="J15" s="706">
        <f t="shared" si="0"/>
        <v>6</v>
      </c>
      <c r="K15" s="706">
        <f t="shared" si="0"/>
        <v>7</v>
      </c>
      <c r="L15" s="706">
        <v>8</v>
      </c>
      <c r="M15" s="706">
        <v>9</v>
      </c>
      <c r="N15" s="706" t="s">
        <v>728</v>
      </c>
      <c r="O15" s="706" t="s">
        <v>729</v>
      </c>
      <c r="P15" s="706">
        <f>M15+1</f>
        <v>10</v>
      </c>
      <c r="Q15" s="706">
        <f t="shared" si="0"/>
        <v>11</v>
      </c>
      <c r="R15" s="706">
        <f t="shared" si="0"/>
        <v>12</v>
      </c>
      <c r="S15" s="706">
        <f t="shared" si="0"/>
        <v>13</v>
      </c>
      <c r="T15" s="706" t="s">
        <v>730</v>
      </c>
      <c r="U15" s="706" t="s">
        <v>731</v>
      </c>
      <c r="V15" s="706">
        <f>S15+1</f>
        <v>14</v>
      </c>
      <c r="W15" s="706">
        <f t="shared" si="0"/>
        <v>15</v>
      </c>
      <c r="X15" s="706">
        <f t="shared" si="0"/>
        <v>16</v>
      </c>
      <c r="Y15" s="706">
        <f t="shared" si="0"/>
        <v>17</v>
      </c>
      <c r="Z15" s="706">
        <f t="shared" si="0"/>
        <v>18</v>
      </c>
      <c r="AA15" s="706">
        <f t="shared" si="0"/>
        <v>19</v>
      </c>
      <c r="AB15" s="706" t="s">
        <v>732</v>
      </c>
      <c r="AC15" s="706" t="s">
        <v>733</v>
      </c>
      <c r="AD15" s="706">
        <f>AA15+1</f>
        <v>20</v>
      </c>
      <c r="AE15" s="706">
        <f t="shared" si="0"/>
        <v>21</v>
      </c>
      <c r="AF15" s="706" t="s">
        <v>734</v>
      </c>
      <c r="AG15" s="705" t="s">
        <v>735</v>
      </c>
      <c r="AH15" s="705" t="s">
        <v>736</v>
      </c>
      <c r="AI15" s="705" t="s">
        <v>737</v>
      </c>
      <c r="AJ15" s="705" t="s">
        <v>738</v>
      </c>
      <c r="AK15" s="705" t="s">
        <v>739</v>
      </c>
      <c r="AL15" s="705" t="s">
        <v>740</v>
      </c>
      <c r="AM15" s="705" t="s">
        <v>741</v>
      </c>
      <c r="AN15" s="705" t="s">
        <v>742</v>
      </c>
      <c r="AO15" s="705" t="s">
        <v>743</v>
      </c>
    </row>
    <row r="16" spans="1:49" s="266" customFormat="1" ht="42.75" customHeight="1">
      <c r="A16" s="270"/>
      <c r="B16" s="708" t="s">
        <v>102</v>
      </c>
      <c r="C16" s="709">
        <f>SUM(C17:C26)</f>
        <v>4649306.1810399992</v>
      </c>
      <c r="D16" s="709">
        <f t="shared" ref="D16:AE16" si="1">SUM(D17:D26)</f>
        <v>739000</v>
      </c>
      <c r="E16" s="709">
        <f t="shared" si="1"/>
        <v>433791</v>
      </c>
      <c r="F16" s="709">
        <f t="shared" si="1"/>
        <v>217209</v>
      </c>
      <c r="G16" s="709">
        <f t="shared" si="1"/>
        <v>0</v>
      </c>
      <c r="H16" s="709">
        <f t="shared" si="1"/>
        <v>0</v>
      </c>
      <c r="I16" s="709">
        <f t="shared" si="1"/>
        <v>81791</v>
      </c>
      <c r="J16" s="709">
        <f t="shared" si="1"/>
        <v>0</v>
      </c>
      <c r="K16" s="709">
        <f t="shared" si="1"/>
        <v>352000</v>
      </c>
      <c r="L16" s="709">
        <f t="shared" si="1"/>
        <v>88000</v>
      </c>
      <c r="M16" s="709">
        <f t="shared" si="1"/>
        <v>3910306.1810399992</v>
      </c>
      <c r="N16" s="709">
        <f t="shared" si="1"/>
        <v>3786433.29544</v>
      </c>
      <c r="O16" s="709">
        <f t="shared" si="1"/>
        <v>123872.88560000001</v>
      </c>
      <c r="P16" s="709">
        <f t="shared" si="1"/>
        <v>2185722.29544</v>
      </c>
      <c r="Q16" s="709">
        <f t="shared" si="1"/>
        <v>2000</v>
      </c>
      <c r="R16" s="709">
        <f>SUM(R17:R26)</f>
        <v>5328348</v>
      </c>
      <c r="S16" s="709">
        <f>SUM(S17:S26)</f>
        <v>949733</v>
      </c>
      <c r="T16" s="709">
        <f t="shared" si="1"/>
        <v>309375</v>
      </c>
      <c r="U16" s="709">
        <f t="shared" si="1"/>
        <v>442778</v>
      </c>
      <c r="V16" s="709">
        <f t="shared" si="1"/>
        <v>84184</v>
      </c>
      <c r="W16" s="709">
        <f t="shared" si="1"/>
        <v>0</v>
      </c>
      <c r="X16" s="709">
        <f t="shared" si="1"/>
        <v>370997</v>
      </c>
      <c r="Y16" s="709">
        <f t="shared" si="1"/>
        <v>746</v>
      </c>
      <c r="Z16" s="709">
        <f t="shared" si="1"/>
        <v>266449</v>
      </c>
      <c r="AA16" s="709">
        <f t="shared" si="1"/>
        <v>4378615</v>
      </c>
      <c r="AB16" s="709">
        <f t="shared" si="1"/>
        <v>2582511</v>
      </c>
      <c r="AC16" s="709">
        <f t="shared" si="1"/>
        <v>418692</v>
      </c>
      <c r="AD16" s="709">
        <f t="shared" si="1"/>
        <v>2329030</v>
      </c>
      <c r="AE16" s="709">
        <f t="shared" si="1"/>
        <v>2000</v>
      </c>
      <c r="AF16" s="271">
        <f t="shared" ref="AF16:AG26" si="2">R16/C16</f>
        <v>1.14605229092658</v>
      </c>
      <c r="AG16" s="271">
        <f t="shared" si="2"/>
        <v>1.2851596752368064</v>
      </c>
      <c r="AH16" s="271" t="e">
        <f>V16/G16</f>
        <v>#DIV/0!</v>
      </c>
      <c r="AI16" s="271"/>
      <c r="AJ16" s="271">
        <f>X16/I16</f>
        <v>4.5359147094423591</v>
      </c>
      <c r="AK16" s="271"/>
      <c r="AL16" s="271">
        <f t="shared" ref="AL16:AL26" si="3">Z16/K16</f>
        <v>0.75695738636363641</v>
      </c>
      <c r="AM16" s="271">
        <f t="shared" ref="AM16:AM26" si="4">AA16/M16</f>
        <v>1.1197626981822297</v>
      </c>
      <c r="AN16" s="271">
        <f t="shared" ref="AN16:AO26" si="5">AD16/P16</f>
        <v>1.0655653761957675</v>
      </c>
      <c r="AO16" s="271">
        <f t="shared" si="5"/>
        <v>1</v>
      </c>
      <c r="AT16" s="266">
        <v>2371240</v>
      </c>
      <c r="AU16" s="266">
        <v>2329029</v>
      </c>
      <c r="AV16" s="266">
        <v>2500</v>
      </c>
      <c r="AW16" s="266">
        <v>2000</v>
      </c>
    </row>
    <row r="17" spans="1:49" s="266" customFormat="1" ht="42.75" customHeight="1">
      <c r="A17" s="272">
        <v>1</v>
      </c>
      <c r="B17" s="273" t="s">
        <v>613</v>
      </c>
      <c r="C17" s="710">
        <f>D17+M17</f>
        <v>1072288.4968600001</v>
      </c>
      <c r="D17" s="710">
        <f>E17+F17+L17</f>
        <v>360212</v>
      </c>
      <c r="E17" s="710">
        <f>192762</f>
        <v>192762</v>
      </c>
      <c r="F17" s="710">
        <v>79450</v>
      </c>
      <c r="G17" s="710"/>
      <c r="H17" s="710"/>
      <c r="I17" s="274">
        <v>16410</v>
      </c>
      <c r="J17" s="710"/>
      <c r="K17" s="274">
        <f>176352</f>
        <v>176352</v>
      </c>
      <c r="L17" s="274">
        <v>88000</v>
      </c>
      <c r="M17" s="275">
        <f>N17+O17</f>
        <v>712076.49686000007</v>
      </c>
      <c r="N17" s="275">
        <v>697315.28566000005</v>
      </c>
      <c r="O17" s="275">
        <v>14761.211200000002</v>
      </c>
      <c r="P17" s="274">
        <v>399497.28565999999</v>
      </c>
      <c r="Q17" s="274">
        <v>200</v>
      </c>
      <c r="R17" s="710">
        <f>S17+AA17</f>
        <v>1187796</v>
      </c>
      <c r="S17" s="710">
        <f>SUM(T17:U17)</f>
        <v>331485</v>
      </c>
      <c r="T17" s="710">
        <v>101283</v>
      </c>
      <c r="U17" s="710">
        <f>148446+81757-1</f>
        <v>230202</v>
      </c>
      <c r="V17" s="710">
        <v>49661</v>
      </c>
      <c r="W17" s="710"/>
      <c r="X17" s="710">
        <v>169924</v>
      </c>
      <c r="Y17" s="710"/>
      <c r="Z17" s="710">
        <v>79805</v>
      </c>
      <c r="AA17" s="710">
        <f>SUM(AB17:AC17)</f>
        <v>856311</v>
      </c>
      <c r="AB17" s="710">
        <v>711001</v>
      </c>
      <c r="AC17" s="710">
        <f>108271+37039</f>
        <v>145310</v>
      </c>
      <c r="AD17" s="710">
        <v>470999</v>
      </c>
      <c r="AE17" s="710">
        <v>400</v>
      </c>
      <c r="AF17" s="276">
        <f t="shared" si="2"/>
        <v>1.1077205467355498</v>
      </c>
      <c r="AG17" s="276">
        <f t="shared" si="2"/>
        <v>0.92024974181870678</v>
      </c>
      <c r="AH17" s="276" t="e">
        <f>V17/G17</f>
        <v>#DIV/0!</v>
      </c>
      <c r="AI17" s="276"/>
      <c r="AJ17" s="276">
        <f t="shared" ref="AJ17:AJ26" si="6">X17/I17</f>
        <v>10.354905545399147</v>
      </c>
      <c r="AK17" s="276"/>
      <c r="AL17" s="276">
        <f t="shared" si="3"/>
        <v>0.45253243512974051</v>
      </c>
      <c r="AM17" s="276">
        <f t="shared" si="4"/>
        <v>1.2025547869871032</v>
      </c>
      <c r="AN17" s="276">
        <f t="shared" si="5"/>
        <v>1.1789792244066783</v>
      </c>
      <c r="AO17" s="276">
        <f t="shared" si="5"/>
        <v>2</v>
      </c>
      <c r="AP17" s="704">
        <f>S17-X17-Y17-Z17</f>
        <v>81756</v>
      </c>
      <c r="AT17" s="266">
        <v>479535</v>
      </c>
      <c r="AU17" s="266">
        <f>ROUND(AT17/$AT$16*$AU$16,0)</f>
        <v>470999</v>
      </c>
      <c r="AV17" s="266">
        <v>500</v>
      </c>
      <c r="AW17" s="266">
        <f>ROUND(AV17/$AV$16*$AW$16,0)</f>
        <v>400</v>
      </c>
    </row>
    <row r="18" spans="1:49" s="266" customFormat="1" ht="42.75" customHeight="1">
      <c r="A18" s="272">
        <f>A17+1</f>
        <v>2</v>
      </c>
      <c r="B18" s="273" t="s">
        <v>612</v>
      </c>
      <c r="C18" s="710">
        <f t="shared" ref="C18:C26" si="7">D18+M18</f>
        <v>525639.24346000003</v>
      </c>
      <c r="D18" s="710">
        <f t="shared" ref="D18:D26" si="8">E18+F18+L18</f>
        <v>43075</v>
      </c>
      <c r="E18" s="710">
        <v>24625</v>
      </c>
      <c r="F18" s="710">
        <v>18450</v>
      </c>
      <c r="G18" s="710"/>
      <c r="H18" s="710"/>
      <c r="I18" s="274">
        <v>7025</v>
      </c>
      <c r="J18" s="710"/>
      <c r="K18" s="274">
        <v>17600</v>
      </c>
      <c r="L18" s="274"/>
      <c r="M18" s="275">
        <f t="shared" ref="M18:M26" si="9">N18+O18</f>
        <v>482564.24346000003</v>
      </c>
      <c r="N18" s="275">
        <v>469478.70426000003</v>
      </c>
      <c r="O18" s="275">
        <v>13085.539200000001</v>
      </c>
      <c r="P18" s="274">
        <v>292237.70426000003</v>
      </c>
      <c r="Q18" s="274">
        <v>200</v>
      </c>
      <c r="R18" s="710">
        <f t="shared" ref="R18:R26" si="10">S18+AA18</f>
        <v>601842</v>
      </c>
      <c r="S18" s="710">
        <f>SUM(T18:U18)</f>
        <v>42178</v>
      </c>
      <c r="T18" s="710">
        <v>24625</v>
      </c>
      <c r="U18" s="710">
        <f>7150+10403</f>
        <v>17553</v>
      </c>
      <c r="V18" s="710">
        <v>4000</v>
      </c>
      <c r="W18" s="710"/>
      <c r="X18" s="710">
        <v>14175</v>
      </c>
      <c r="Y18" s="710"/>
      <c r="Z18" s="710">
        <v>17600</v>
      </c>
      <c r="AA18" s="710">
        <f>SUM(AB18:AC18)</f>
        <v>559664</v>
      </c>
      <c r="AB18" s="710">
        <v>463479</v>
      </c>
      <c r="AC18" s="710">
        <f>71976+24208+1</f>
        <v>96185</v>
      </c>
      <c r="AD18" s="710">
        <v>321837</v>
      </c>
      <c r="AE18" s="710">
        <v>160</v>
      </c>
      <c r="AF18" s="276">
        <f t="shared" si="2"/>
        <v>1.1449715893326349</v>
      </c>
      <c r="AG18" s="276">
        <f t="shared" si="2"/>
        <v>0.9791758560650029</v>
      </c>
      <c r="AH18" s="276"/>
      <c r="AI18" s="276"/>
      <c r="AJ18" s="276">
        <f t="shared" si="6"/>
        <v>2.0177935943060499</v>
      </c>
      <c r="AK18" s="276"/>
      <c r="AL18" s="276">
        <f t="shared" si="3"/>
        <v>1</v>
      </c>
      <c r="AM18" s="276">
        <f t="shared" si="4"/>
        <v>1.1597709684977744</v>
      </c>
      <c r="AN18" s="276">
        <f t="shared" si="5"/>
        <v>1.101284999534714</v>
      </c>
      <c r="AO18" s="276">
        <f t="shared" si="5"/>
        <v>0.8</v>
      </c>
      <c r="AP18" s="704">
        <f t="shared" ref="AP18:AP26" si="11">S18-X18-Y18-Z18</f>
        <v>10403</v>
      </c>
      <c r="AT18" s="266">
        <v>327670</v>
      </c>
      <c r="AU18" s="266">
        <f t="shared" ref="AU18:AU26" si="12">ROUND(AT18/$AT$16*$AU$16,0)</f>
        <v>321837</v>
      </c>
      <c r="AV18" s="266">
        <v>200</v>
      </c>
      <c r="AW18" s="266">
        <f t="shared" ref="AW18:AW26" si="13">ROUND(AV18/$AV$16*$AW$16,0)</f>
        <v>160</v>
      </c>
    </row>
    <row r="19" spans="1:49" s="266" customFormat="1" ht="42.75" customHeight="1">
      <c r="A19" s="272">
        <f t="shared" ref="A19:A26" si="14">A18+1</f>
        <v>3</v>
      </c>
      <c r="B19" s="273" t="s">
        <v>611</v>
      </c>
      <c r="C19" s="710">
        <f>D19+M19</f>
        <v>419794.83740000008</v>
      </c>
      <c r="D19" s="710">
        <f t="shared" si="8"/>
        <v>39521</v>
      </c>
      <c r="E19" s="710">
        <v>20571</v>
      </c>
      <c r="F19" s="710">
        <v>18950</v>
      </c>
      <c r="G19" s="710"/>
      <c r="H19" s="710"/>
      <c r="I19" s="274">
        <v>7371</v>
      </c>
      <c r="J19" s="710"/>
      <c r="K19" s="274">
        <v>13200</v>
      </c>
      <c r="L19" s="274"/>
      <c r="M19" s="275">
        <f t="shared" si="9"/>
        <v>380273.83740000008</v>
      </c>
      <c r="N19" s="275">
        <v>365078.34660000005</v>
      </c>
      <c r="O19" s="275">
        <v>15195.4908</v>
      </c>
      <c r="P19" s="274">
        <v>229403.34660000002</v>
      </c>
      <c r="Q19" s="274">
        <v>200</v>
      </c>
      <c r="R19" s="710">
        <f t="shared" si="10"/>
        <v>471301</v>
      </c>
      <c r="S19" s="710">
        <f>SUM(T19:U19)</f>
        <v>71745</v>
      </c>
      <c r="T19" s="710">
        <v>36505</v>
      </c>
      <c r="U19" s="710">
        <f>17545+17695</f>
        <v>35240</v>
      </c>
      <c r="V19" s="710">
        <v>10854</v>
      </c>
      <c r="W19" s="710"/>
      <c r="X19" s="710">
        <v>19480</v>
      </c>
      <c r="Y19" s="710"/>
      <c r="Z19" s="710">
        <v>17025</v>
      </c>
      <c r="AA19" s="710">
        <f>382274+17282</f>
        <v>399556</v>
      </c>
      <c r="AB19" s="710"/>
      <c r="AC19" s="710"/>
      <c r="AD19" s="710">
        <v>230753</v>
      </c>
      <c r="AE19" s="710">
        <v>160</v>
      </c>
      <c r="AF19" s="276">
        <f t="shared" si="2"/>
        <v>1.1226936541645043</v>
      </c>
      <c r="AG19" s="276">
        <f t="shared" si="2"/>
        <v>1.8153639837048658</v>
      </c>
      <c r="AH19" s="276"/>
      <c r="AI19" s="276"/>
      <c r="AJ19" s="276">
        <f t="shared" si="6"/>
        <v>2.642789309455976</v>
      </c>
      <c r="AK19" s="276"/>
      <c r="AL19" s="276">
        <f t="shared" si="3"/>
        <v>1.2897727272727273</v>
      </c>
      <c r="AM19" s="276">
        <f t="shared" si="4"/>
        <v>1.0507059931649136</v>
      </c>
      <c r="AN19" s="276">
        <f t="shared" si="5"/>
        <v>1.0058833204484732</v>
      </c>
      <c r="AO19" s="276">
        <f t="shared" si="5"/>
        <v>0.8</v>
      </c>
      <c r="AP19" s="704">
        <f>S19-X19-Y19-Z19</f>
        <v>35240</v>
      </c>
      <c r="AT19" s="266">
        <v>234935</v>
      </c>
      <c r="AU19" s="266">
        <f t="shared" si="12"/>
        <v>230753</v>
      </c>
      <c r="AV19" s="266">
        <v>200</v>
      </c>
      <c r="AW19" s="266">
        <f t="shared" si="13"/>
        <v>160</v>
      </c>
    </row>
    <row r="20" spans="1:49" s="266" customFormat="1" ht="42.75" customHeight="1">
      <c r="A20" s="272">
        <f t="shared" si="14"/>
        <v>4</v>
      </c>
      <c r="B20" s="273" t="s">
        <v>610</v>
      </c>
      <c r="C20" s="710">
        <f t="shared" si="7"/>
        <v>395257.82651999994</v>
      </c>
      <c r="D20" s="710">
        <f t="shared" si="8"/>
        <v>39846</v>
      </c>
      <c r="E20" s="710">
        <v>29396</v>
      </c>
      <c r="F20" s="710">
        <v>10450</v>
      </c>
      <c r="G20" s="710"/>
      <c r="H20" s="710">
        <v>0</v>
      </c>
      <c r="I20" s="274">
        <v>7396</v>
      </c>
      <c r="J20" s="710"/>
      <c r="K20" s="274">
        <v>22000</v>
      </c>
      <c r="L20" s="274"/>
      <c r="M20" s="275">
        <f t="shared" si="9"/>
        <v>355411.82651999994</v>
      </c>
      <c r="N20" s="275">
        <v>339244.80331999995</v>
      </c>
      <c r="O20" s="275">
        <v>16167.023199999998</v>
      </c>
      <c r="P20" s="274">
        <v>184138.80331999998</v>
      </c>
      <c r="Q20" s="274">
        <v>200</v>
      </c>
      <c r="R20" s="710">
        <f t="shared" si="10"/>
        <v>578732</v>
      </c>
      <c r="S20" s="710">
        <f>100002+32739</f>
        <v>132741</v>
      </c>
      <c r="T20" s="710"/>
      <c r="U20" s="710"/>
      <c r="V20" s="710">
        <v>5584</v>
      </c>
      <c r="W20" s="710"/>
      <c r="X20" s="710">
        <v>72127</v>
      </c>
      <c r="Y20" s="710"/>
      <c r="Z20" s="710">
        <v>27874</v>
      </c>
      <c r="AA20" s="710">
        <f>426700+19291</f>
        <v>445991</v>
      </c>
      <c r="AB20" s="710"/>
      <c r="AC20" s="710"/>
      <c r="AD20" s="710">
        <v>234078</v>
      </c>
      <c r="AE20" s="710">
        <v>240</v>
      </c>
      <c r="AF20" s="276">
        <f t="shared" si="2"/>
        <v>1.4641885907620764</v>
      </c>
      <c r="AG20" s="276">
        <f t="shared" si="2"/>
        <v>3.3313507001957539</v>
      </c>
      <c r="AH20" s="276"/>
      <c r="AI20" s="276"/>
      <c r="AJ20" s="276">
        <f t="shared" si="6"/>
        <v>9.7521633315305571</v>
      </c>
      <c r="AK20" s="276"/>
      <c r="AL20" s="276">
        <f t="shared" si="3"/>
        <v>1.2669999999999999</v>
      </c>
      <c r="AM20" s="276">
        <f t="shared" si="4"/>
        <v>1.2548569482532481</v>
      </c>
      <c r="AN20" s="276">
        <f t="shared" si="5"/>
        <v>1.2712040904991369</v>
      </c>
      <c r="AO20" s="276">
        <f t="shared" si="5"/>
        <v>1.2</v>
      </c>
      <c r="AP20" s="704">
        <f t="shared" si="11"/>
        <v>32740</v>
      </c>
      <c r="AT20" s="266">
        <v>238320</v>
      </c>
      <c r="AU20" s="266">
        <f t="shared" si="12"/>
        <v>234078</v>
      </c>
      <c r="AV20" s="266">
        <v>300</v>
      </c>
      <c r="AW20" s="266">
        <f t="shared" si="13"/>
        <v>240</v>
      </c>
    </row>
    <row r="21" spans="1:49" s="266" customFormat="1" ht="42.75" customHeight="1">
      <c r="A21" s="272">
        <f t="shared" si="14"/>
        <v>5</v>
      </c>
      <c r="B21" s="273" t="s">
        <v>609</v>
      </c>
      <c r="C21" s="710">
        <f t="shared" si="7"/>
        <v>475088.58640000003</v>
      </c>
      <c r="D21" s="710">
        <f t="shared" si="8"/>
        <v>27100</v>
      </c>
      <c r="E21" s="710">
        <v>15950</v>
      </c>
      <c r="F21" s="710">
        <v>11150</v>
      </c>
      <c r="G21" s="710"/>
      <c r="H21" s="710"/>
      <c r="I21" s="274">
        <v>8030</v>
      </c>
      <c r="J21" s="710"/>
      <c r="K21" s="274">
        <v>7920</v>
      </c>
      <c r="L21" s="274"/>
      <c r="M21" s="275">
        <f t="shared" si="9"/>
        <v>447988.58640000003</v>
      </c>
      <c r="N21" s="275">
        <v>440383.08600000001</v>
      </c>
      <c r="O21" s="275">
        <v>7605.5003999999972</v>
      </c>
      <c r="P21" s="274">
        <v>251193.08600000001</v>
      </c>
      <c r="Q21" s="274">
        <v>200</v>
      </c>
      <c r="R21" s="710">
        <f t="shared" si="10"/>
        <v>478726</v>
      </c>
      <c r="S21" s="710">
        <f>SUM(T21:U21)</f>
        <v>34512</v>
      </c>
      <c r="T21" s="710">
        <v>13500</v>
      </c>
      <c r="U21" s="710">
        <f>12500+8512</f>
        <v>21012</v>
      </c>
      <c r="V21" s="710">
        <v>4500</v>
      </c>
      <c r="W21" s="710"/>
      <c r="X21" s="710">
        <v>22850</v>
      </c>
      <c r="Y21" s="710">
        <v>650</v>
      </c>
      <c r="Z21" s="710">
        <v>2500</v>
      </c>
      <c r="AA21" s="710">
        <f t="shared" ref="AA21:AA22" si="15">SUM(AB21:AC21)</f>
        <v>444214</v>
      </c>
      <c r="AB21" s="710">
        <v>407500</v>
      </c>
      <c r="AC21" s="710">
        <f>17500+19214</f>
        <v>36714</v>
      </c>
      <c r="AD21" s="710">
        <v>245550</v>
      </c>
      <c r="AE21" s="710">
        <v>160</v>
      </c>
      <c r="AF21" s="276">
        <f t="shared" si="2"/>
        <v>1.00765628496269</v>
      </c>
      <c r="AG21" s="276">
        <f t="shared" si="2"/>
        <v>1.2735055350553506</v>
      </c>
      <c r="AH21" s="276"/>
      <c r="AI21" s="276"/>
      <c r="AJ21" s="276">
        <f t="shared" si="6"/>
        <v>2.8455790784557906</v>
      </c>
      <c r="AK21" s="276"/>
      <c r="AL21" s="276">
        <f t="shared" si="3"/>
        <v>0.31565656565656564</v>
      </c>
      <c r="AM21" s="276">
        <f t="shared" si="4"/>
        <v>0.99157436927058273</v>
      </c>
      <c r="AN21" s="276">
        <f t="shared" si="5"/>
        <v>0.9775348673410541</v>
      </c>
      <c r="AO21" s="276">
        <f t="shared" si="5"/>
        <v>0.8</v>
      </c>
      <c r="AP21" s="704">
        <f t="shared" si="11"/>
        <v>8512</v>
      </c>
      <c r="AT21" s="266">
        <v>250000</v>
      </c>
      <c r="AU21" s="266">
        <f t="shared" si="12"/>
        <v>245550</v>
      </c>
      <c r="AV21" s="266">
        <v>200</v>
      </c>
      <c r="AW21" s="266">
        <f t="shared" si="13"/>
        <v>160</v>
      </c>
    </row>
    <row r="22" spans="1:49" s="266" customFormat="1" ht="42.75" customHeight="1">
      <c r="A22" s="272">
        <f t="shared" si="14"/>
        <v>6</v>
      </c>
      <c r="B22" s="273" t="s">
        <v>608</v>
      </c>
      <c r="C22" s="710">
        <f t="shared" si="7"/>
        <v>445919.94199999998</v>
      </c>
      <c r="D22" s="710">
        <f t="shared" si="8"/>
        <v>38782</v>
      </c>
      <c r="E22" s="710">
        <v>29832</v>
      </c>
      <c r="F22" s="710">
        <v>8950</v>
      </c>
      <c r="G22" s="710"/>
      <c r="H22" s="710"/>
      <c r="I22" s="274">
        <v>7832</v>
      </c>
      <c r="J22" s="710"/>
      <c r="K22" s="274">
        <v>22000</v>
      </c>
      <c r="L22" s="274"/>
      <c r="M22" s="275">
        <f t="shared" si="9"/>
        <v>407137.94199999998</v>
      </c>
      <c r="N22" s="275">
        <v>397937.77399999998</v>
      </c>
      <c r="O22" s="275">
        <v>9200.1680000000015</v>
      </c>
      <c r="P22" s="274">
        <v>236940.774</v>
      </c>
      <c r="Q22" s="274">
        <v>200</v>
      </c>
      <c r="R22" s="710">
        <f t="shared" si="10"/>
        <v>476205</v>
      </c>
      <c r="S22" s="710">
        <f>SUM(T22:U22)</f>
        <v>51171</v>
      </c>
      <c r="T22" s="710">
        <v>29650</v>
      </c>
      <c r="U22" s="710">
        <f>8900+12621</f>
        <v>21521</v>
      </c>
      <c r="V22" s="710">
        <v>1995</v>
      </c>
      <c r="W22" s="710"/>
      <c r="X22" s="710">
        <v>7832</v>
      </c>
      <c r="Y22" s="710"/>
      <c r="Z22" s="710">
        <v>21000</v>
      </c>
      <c r="AA22" s="710">
        <f t="shared" si="15"/>
        <v>425034</v>
      </c>
      <c r="AB22" s="710">
        <v>397500</v>
      </c>
      <c r="AC22" s="710">
        <f>9150+18384</f>
        <v>27534</v>
      </c>
      <c r="AD22" s="710">
        <v>232281</v>
      </c>
      <c r="AE22" s="710">
        <v>160</v>
      </c>
      <c r="AF22" s="276">
        <f t="shared" si="2"/>
        <v>1.0679159085466512</v>
      </c>
      <c r="AG22" s="276">
        <f t="shared" si="2"/>
        <v>1.3194523232427415</v>
      </c>
      <c r="AH22" s="276" t="e">
        <f>V22/G22</f>
        <v>#DIV/0!</v>
      </c>
      <c r="AI22" s="276"/>
      <c r="AJ22" s="276">
        <f t="shared" si="6"/>
        <v>1</v>
      </c>
      <c r="AK22" s="276"/>
      <c r="AL22" s="276">
        <f t="shared" si="3"/>
        <v>0.95454545454545459</v>
      </c>
      <c r="AM22" s="276">
        <f t="shared" si="4"/>
        <v>1.0439557608217218</v>
      </c>
      <c r="AN22" s="276">
        <f t="shared" si="5"/>
        <v>0.98033359171857859</v>
      </c>
      <c r="AO22" s="276">
        <f t="shared" si="5"/>
        <v>0.8</v>
      </c>
      <c r="AP22" s="704">
        <f t="shared" si="11"/>
        <v>22339</v>
      </c>
      <c r="AT22" s="266">
        <v>236491</v>
      </c>
      <c r="AU22" s="266">
        <f t="shared" si="12"/>
        <v>232281</v>
      </c>
      <c r="AV22" s="266">
        <v>200</v>
      </c>
      <c r="AW22" s="266">
        <f t="shared" si="13"/>
        <v>160</v>
      </c>
    </row>
    <row r="23" spans="1:49" s="266" customFormat="1" ht="42.75" customHeight="1">
      <c r="A23" s="272">
        <f t="shared" si="14"/>
        <v>7</v>
      </c>
      <c r="B23" s="273" t="s">
        <v>744</v>
      </c>
      <c r="C23" s="710">
        <f t="shared" si="7"/>
        <v>163585.65059999999</v>
      </c>
      <c r="D23" s="710">
        <f t="shared" si="8"/>
        <v>20076</v>
      </c>
      <c r="E23" s="710">
        <v>10326</v>
      </c>
      <c r="F23" s="710">
        <v>9750</v>
      </c>
      <c r="G23" s="710"/>
      <c r="H23" s="710"/>
      <c r="I23" s="274">
        <v>5926</v>
      </c>
      <c r="J23" s="710"/>
      <c r="K23" s="274">
        <v>4400</v>
      </c>
      <c r="L23" s="274"/>
      <c r="M23" s="275">
        <f t="shared" si="9"/>
        <v>143509.65059999999</v>
      </c>
      <c r="N23" s="275">
        <v>128948.10459999999</v>
      </c>
      <c r="O23" s="275">
        <v>14561.546</v>
      </c>
      <c r="P23" s="274">
        <v>51708.104599999999</v>
      </c>
      <c r="Q23" s="274">
        <v>200</v>
      </c>
      <c r="R23" s="710">
        <f t="shared" si="10"/>
        <v>199903</v>
      </c>
      <c r="S23" s="710">
        <f>28935+9473</f>
        <v>38408</v>
      </c>
      <c r="T23" s="710"/>
      <c r="U23" s="710"/>
      <c r="V23" s="710">
        <v>7590</v>
      </c>
      <c r="W23" s="710"/>
      <c r="X23" s="710">
        <v>5926</v>
      </c>
      <c r="Y23" s="710">
        <v>96</v>
      </c>
      <c r="Z23" s="710">
        <v>11236</v>
      </c>
      <c r="AA23" s="710">
        <f>154510+6985</f>
        <v>161495</v>
      </c>
      <c r="AB23" s="710"/>
      <c r="AC23" s="710"/>
      <c r="AD23" s="710">
        <v>57270</v>
      </c>
      <c r="AE23" s="710">
        <v>160</v>
      </c>
      <c r="AF23" s="276">
        <f t="shared" si="2"/>
        <v>1.222008160659539</v>
      </c>
      <c r="AG23" s="276">
        <f t="shared" si="2"/>
        <v>1.9131301055987249</v>
      </c>
      <c r="AH23" s="276"/>
      <c r="AI23" s="276"/>
      <c r="AJ23" s="276">
        <f t="shared" si="6"/>
        <v>1</v>
      </c>
      <c r="AK23" s="276"/>
      <c r="AL23" s="276">
        <f t="shared" si="3"/>
        <v>2.5536363636363637</v>
      </c>
      <c r="AM23" s="276">
        <f t="shared" si="4"/>
        <v>1.1253250169922719</v>
      </c>
      <c r="AN23" s="276">
        <f t="shared" si="5"/>
        <v>1.1075633199674466</v>
      </c>
      <c r="AO23" s="276">
        <f t="shared" si="5"/>
        <v>0.8</v>
      </c>
      <c r="AP23" s="704">
        <f>S23-X23-Y23-Z23</f>
        <v>21150</v>
      </c>
      <c r="AT23" s="266">
        <v>58308</v>
      </c>
      <c r="AU23" s="266">
        <f t="shared" si="12"/>
        <v>57270</v>
      </c>
      <c r="AV23" s="266">
        <v>200</v>
      </c>
      <c r="AW23" s="266">
        <f t="shared" si="13"/>
        <v>160</v>
      </c>
    </row>
    <row r="24" spans="1:49" s="266" customFormat="1" ht="42.75" customHeight="1">
      <c r="A24" s="272">
        <f>A23+1</f>
        <v>8</v>
      </c>
      <c r="B24" s="273" t="s">
        <v>606</v>
      </c>
      <c r="C24" s="710">
        <f t="shared" si="7"/>
        <v>299889.51679999998</v>
      </c>
      <c r="D24" s="710">
        <f t="shared" si="8"/>
        <v>19078</v>
      </c>
      <c r="E24" s="710">
        <v>7028</v>
      </c>
      <c r="F24" s="710">
        <v>12050</v>
      </c>
      <c r="G24" s="710"/>
      <c r="H24" s="710">
        <v>0</v>
      </c>
      <c r="I24" s="274">
        <v>6588</v>
      </c>
      <c r="J24" s="710"/>
      <c r="K24" s="274">
        <v>440</v>
      </c>
      <c r="L24" s="274"/>
      <c r="M24" s="275">
        <f t="shared" si="9"/>
        <v>280811.51679999998</v>
      </c>
      <c r="N24" s="275">
        <v>273827.2108</v>
      </c>
      <c r="O24" s="275">
        <v>6984.3059999999996</v>
      </c>
      <c r="P24" s="274">
        <v>158030.2108</v>
      </c>
      <c r="Q24" s="274">
        <v>200</v>
      </c>
      <c r="R24" s="710">
        <f>S24+AA24</f>
        <v>402972</v>
      </c>
      <c r="S24" s="710">
        <f t="shared" ref="S24:S25" si="16">SUM(T24:U24)</f>
        <v>43216</v>
      </c>
      <c r="T24" s="710">
        <v>8189</v>
      </c>
      <c r="U24" s="710">
        <f>24368+10659</f>
        <v>35027</v>
      </c>
      <c r="V24" s="710"/>
      <c r="W24" s="710">
        <v>0</v>
      </c>
      <c r="X24" s="710">
        <v>31218</v>
      </c>
      <c r="Y24" s="710"/>
      <c r="Z24" s="710">
        <v>1339</v>
      </c>
      <c r="AA24" s="710">
        <f>SUM(AB24:AC24)</f>
        <v>359756</v>
      </c>
      <c r="AB24" s="710">
        <v>273827</v>
      </c>
      <c r="AC24" s="710">
        <f>70368+15561</f>
        <v>85929</v>
      </c>
      <c r="AD24" s="710">
        <v>160499</v>
      </c>
      <c r="AE24" s="710">
        <v>240</v>
      </c>
      <c r="AF24" s="276">
        <f t="shared" si="2"/>
        <v>1.3437348670935603</v>
      </c>
      <c r="AG24" s="276">
        <f t="shared" si="2"/>
        <v>2.2652269629940247</v>
      </c>
      <c r="AH24" s="276" t="e">
        <f>V24/G24</f>
        <v>#DIV/0!</v>
      </c>
      <c r="AI24" s="276"/>
      <c r="AJ24" s="276">
        <f t="shared" si="6"/>
        <v>4.7386156648451729</v>
      </c>
      <c r="AK24" s="276"/>
      <c r="AL24" s="276">
        <f t="shared" si="3"/>
        <v>3.043181818181818</v>
      </c>
      <c r="AM24" s="276">
        <f t="shared" si="4"/>
        <v>1.2811297916111681</v>
      </c>
      <c r="AN24" s="276">
        <f t="shared" si="5"/>
        <v>1.0156222610063113</v>
      </c>
      <c r="AO24" s="276">
        <f t="shared" si="5"/>
        <v>1.2</v>
      </c>
      <c r="AP24" s="704">
        <f t="shared" si="11"/>
        <v>10659</v>
      </c>
      <c r="AT24" s="266">
        <v>163408</v>
      </c>
      <c r="AU24" s="266">
        <f t="shared" si="12"/>
        <v>160499</v>
      </c>
      <c r="AV24" s="266">
        <v>300</v>
      </c>
      <c r="AW24" s="266">
        <f t="shared" si="13"/>
        <v>240</v>
      </c>
    </row>
    <row r="25" spans="1:49" s="266" customFormat="1" ht="42.75" customHeight="1">
      <c r="A25" s="272">
        <f t="shared" si="14"/>
        <v>9</v>
      </c>
      <c r="B25" s="273" t="s">
        <v>682</v>
      </c>
      <c r="C25" s="710">
        <f t="shared" si="7"/>
        <v>474797.28539999999</v>
      </c>
      <c r="D25" s="710">
        <f t="shared" si="8"/>
        <v>133982</v>
      </c>
      <c r="E25" s="710">
        <v>95623</v>
      </c>
      <c r="F25" s="710">
        <v>38359</v>
      </c>
      <c r="G25" s="710"/>
      <c r="H25" s="710"/>
      <c r="I25" s="274">
        <v>7623</v>
      </c>
      <c r="J25" s="710"/>
      <c r="K25" s="274">
        <v>88000</v>
      </c>
      <c r="L25" s="274"/>
      <c r="M25" s="275">
        <f t="shared" si="9"/>
        <v>340815.28539999999</v>
      </c>
      <c r="N25" s="275">
        <v>329203.51659999997</v>
      </c>
      <c r="O25" s="275">
        <v>11611.768800000002</v>
      </c>
      <c r="P25" s="274">
        <v>177564.5166</v>
      </c>
      <c r="Q25" s="274">
        <v>200</v>
      </c>
      <c r="R25" s="710">
        <f t="shared" si="10"/>
        <v>534070</v>
      </c>
      <c r="S25" s="710">
        <f t="shared" si="16"/>
        <v>177846</v>
      </c>
      <c r="T25" s="710">
        <v>95623</v>
      </c>
      <c r="U25" s="710">
        <f>38359+43864</f>
        <v>82223</v>
      </c>
      <c r="V25" s="710"/>
      <c r="W25" s="710"/>
      <c r="X25" s="710">
        <v>7623</v>
      </c>
      <c r="Y25" s="710"/>
      <c r="Z25" s="710">
        <v>88000</v>
      </c>
      <c r="AA25" s="710">
        <f>SUM(AB25:AC25)</f>
        <v>356224</v>
      </c>
      <c r="AB25" s="710">
        <v>329204</v>
      </c>
      <c r="AC25" s="710">
        <f>11612+15408</f>
        <v>27020</v>
      </c>
      <c r="AD25" s="710">
        <v>174404</v>
      </c>
      <c r="AE25" s="710">
        <v>160</v>
      </c>
      <c r="AF25" s="276">
        <f t="shared" si="2"/>
        <v>1.1248379391008203</v>
      </c>
      <c r="AG25" s="276">
        <f t="shared" si="2"/>
        <v>1.327387260975355</v>
      </c>
      <c r="AH25" s="276"/>
      <c r="AI25" s="276"/>
      <c r="AJ25" s="276">
        <f t="shared" si="6"/>
        <v>1</v>
      </c>
      <c r="AK25" s="276"/>
      <c r="AL25" s="276">
        <f t="shared" si="3"/>
        <v>1</v>
      </c>
      <c r="AM25" s="276">
        <f t="shared" si="4"/>
        <v>1.0452113366391871</v>
      </c>
      <c r="AN25" s="276">
        <f t="shared" si="5"/>
        <v>0.98220074223996168</v>
      </c>
      <c r="AO25" s="276">
        <f t="shared" si="5"/>
        <v>0.8</v>
      </c>
      <c r="AP25" s="704">
        <f t="shared" si="11"/>
        <v>82223</v>
      </c>
      <c r="AT25" s="266">
        <v>177565</v>
      </c>
      <c r="AU25" s="266">
        <f t="shared" si="12"/>
        <v>174404</v>
      </c>
      <c r="AV25" s="266">
        <v>200</v>
      </c>
      <c r="AW25" s="266">
        <f t="shared" si="13"/>
        <v>160</v>
      </c>
    </row>
    <row r="26" spans="1:49" s="266" customFormat="1" ht="42.75" customHeight="1">
      <c r="A26" s="272">
        <f t="shared" si="14"/>
        <v>10</v>
      </c>
      <c r="B26" s="273" t="s">
        <v>604</v>
      </c>
      <c r="C26" s="710">
        <f t="shared" si="7"/>
        <v>377044.79560000001</v>
      </c>
      <c r="D26" s="710">
        <f t="shared" si="8"/>
        <v>17328</v>
      </c>
      <c r="E26" s="710">
        <v>7678</v>
      </c>
      <c r="F26" s="710">
        <v>9650</v>
      </c>
      <c r="G26" s="710"/>
      <c r="H26" s="710">
        <v>0</v>
      </c>
      <c r="I26" s="274">
        <v>7590.0000000000009</v>
      </c>
      <c r="J26" s="710"/>
      <c r="K26" s="274">
        <v>88</v>
      </c>
      <c r="L26" s="274"/>
      <c r="M26" s="275">
        <f t="shared" si="9"/>
        <v>359716.79560000001</v>
      </c>
      <c r="N26" s="275">
        <v>345016.46360000002</v>
      </c>
      <c r="O26" s="275">
        <v>14700.331999999999</v>
      </c>
      <c r="P26" s="274">
        <v>205008.46360000002</v>
      </c>
      <c r="Q26" s="274">
        <v>200</v>
      </c>
      <c r="R26" s="710">
        <f t="shared" si="10"/>
        <v>396801</v>
      </c>
      <c r="S26" s="710">
        <f>19912+6519</f>
        <v>26431</v>
      </c>
      <c r="T26" s="710"/>
      <c r="U26" s="710"/>
      <c r="V26" s="710"/>
      <c r="W26" s="710"/>
      <c r="X26" s="710">
        <v>19842</v>
      </c>
      <c r="Y26" s="710"/>
      <c r="Z26" s="710">
        <v>70</v>
      </c>
      <c r="AA26" s="710">
        <f>354350+16020</f>
        <v>370370</v>
      </c>
      <c r="AB26" s="710"/>
      <c r="AC26" s="710"/>
      <c r="AD26" s="710">
        <v>201359</v>
      </c>
      <c r="AE26" s="710">
        <v>160</v>
      </c>
      <c r="AF26" s="276">
        <f t="shared" si="2"/>
        <v>1.0523974992641432</v>
      </c>
      <c r="AG26" s="276">
        <f t="shared" si="2"/>
        <v>1.5253347183748847</v>
      </c>
      <c r="AH26" s="276"/>
      <c r="AI26" s="276"/>
      <c r="AJ26" s="276">
        <f t="shared" si="6"/>
        <v>2.6142292490118573</v>
      </c>
      <c r="AK26" s="276"/>
      <c r="AL26" s="276">
        <f t="shared" si="3"/>
        <v>0.79545454545454541</v>
      </c>
      <c r="AM26" s="276">
        <f t="shared" si="4"/>
        <v>1.0296155323585341</v>
      </c>
      <c r="AN26" s="276">
        <f t="shared" si="5"/>
        <v>0.98219847348780376</v>
      </c>
      <c r="AO26" s="276">
        <f t="shared" si="5"/>
        <v>0.8</v>
      </c>
      <c r="AP26" s="704">
        <f t="shared" si="11"/>
        <v>6519</v>
      </c>
      <c r="AT26" s="266">
        <v>205008</v>
      </c>
      <c r="AU26" s="266">
        <f t="shared" si="12"/>
        <v>201359</v>
      </c>
      <c r="AV26" s="266">
        <v>200</v>
      </c>
      <c r="AW26" s="266">
        <f t="shared" si="13"/>
        <v>160</v>
      </c>
    </row>
    <row r="27" spans="1:49" ht="15.95" customHeight="1">
      <c r="A27" s="277"/>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row>
    <row r="28" spans="1:49" ht="37.5" customHeight="1">
      <c r="A28" s="263" t="s">
        <v>745</v>
      </c>
    </row>
    <row r="29" spans="1:49" ht="17.25" customHeight="1">
      <c r="B29" s="711" t="s">
        <v>746</v>
      </c>
    </row>
    <row r="30" spans="1:49" ht="18.75">
      <c r="A30" s="266"/>
      <c r="B30" s="711" t="s">
        <v>747</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row>
    <row r="31" spans="1:49" ht="18.75">
      <c r="A31" s="266"/>
      <c r="B31" s="711" t="s">
        <v>748</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row>
    <row r="32" spans="1:49" ht="18.75">
      <c r="A32" s="266"/>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row>
    <row r="33" spans="1:41" ht="18.75">
      <c r="A33" s="266"/>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row>
    <row r="34" spans="1:41" ht="18.75">
      <c r="A34" s="266"/>
      <c r="B34" s="266"/>
      <c r="C34" s="266"/>
      <c r="D34" s="712"/>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row>
    <row r="35" spans="1:41" ht="18.75">
      <c r="A35" s="266"/>
      <c r="B35" s="266"/>
      <c r="C35" s="266"/>
      <c r="D35" s="712"/>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row>
    <row r="36" spans="1:41" ht="18.75">
      <c r="A36" s="266"/>
      <c r="B36" s="266"/>
      <c r="C36" s="266"/>
      <c r="D36" s="712"/>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713"/>
      <c r="AE36" s="266"/>
      <c r="AF36" s="266"/>
      <c r="AG36" s="266"/>
      <c r="AH36" s="266"/>
      <c r="AI36" s="266"/>
      <c r="AJ36" s="266"/>
      <c r="AK36" s="266"/>
      <c r="AL36" s="266"/>
      <c r="AM36" s="266"/>
      <c r="AN36" s="266"/>
      <c r="AO36" s="266"/>
    </row>
    <row r="37" spans="1:41" ht="18.75">
      <c r="A37" s="266"/>
      <c r="B37" s="266"/>
      <c r="C37" s="266"/>
      <c r="D37" s="712"/>
      <c r="E37" s="266"/>
      <c r="F37" s="266"/>
      <c r="G37" s="266"/>
      <c r="H37" s="266"/>
      <c r="I37" s="266"/>
      <c r="J37" s="266"/>
      <c r="K37" s="266"/>
      <c r="L37" s="266"/>
      <c r="M37" s="266"/>
      <c r="N37" s="266"/>
      <c r="O37" s="266"/>
      <c r="P37" s="266"/>
      <c r="Q37" s="266"/>
      <c r="R37" s="713"/>
      <c r="S37" s="546"/>
      <c r="T37" s="546"/>
      <c r="U37" s="546"/>
      <c r="V37" s="546"/>
      <c r="W37" s="546"/>
      <c r="X37" s="546"/>
      <c r="Y37" s="546"/>
      <c r="Z37" s="546"/>
      <c r="AA37" s="546"/>
      <c r="AB37" s="546"/>
      <c r="AC37" s="546"/>
      <c r="AD37" s="713"/>
      <c r="AE37" s="266"/>
      <c r="AF37" s="266"/>
      <c r="AG37" s="266"/>
      <c r="AH37" s="266"/>
      <c r="AI37" s="266"/>
      <c r="AJ37" s="266"/>
      <c r="AK37" s="266"/>
      <c r="AL37" s="266"/>
      <c r="AM37" s="266"/>
      <c r="AN37" s="266"/>
      <c r="AO37" s="266"/>
    </row>
    <row r="38" spans="1:41" ht="18.75">
      <c r="A38" s="266"/>
      <c r="B38" s="266"/>
      <c r="C38" s="266"/>
      <c r="D38" s="712"/>
      <c r="E38" s="266"/>
      <c r="F38" s="266"/>
      <c r="G38" s="266"/>
      <c r="H38" s="266"/>
      <c r="I38" s="266"/>
      <c r="J38" s="266"/>
      <c r="K38" s="266"/>
      <c r="L38" s="266"/>
      <c r="M38" s="266"/>
      <c r="N38" s="266"/>
      <c r="O38" s="266"/>
      <c r="P38" s="266"/>
      <c r="Q38" s="266"/>
      <c r="R38" s="266"/>
      <c r="S38" s="546"/>
      <c r="T38" s="266"/>
      <c r="U38" s="266"/>
      <c r="V38" s="266"/>
      <c r="W38" s="266"/>
      <c r="X38" s="266"/>
      <c r="Y38" s="266"/>
      <c r="Z38" s="266"/>
      <c r="AA38" s="266"/>
      <c r="AB38" s="266"/>
      <c r="AC38" s="266"/>
      <c r="AD38" s="713"/>
      <c r="AE38" s="266"/>
      <c r="AF38" s="266"/>
      <c r="AG38" s="266"/>
      <c r="AH38" s="266"/>
      <c r="AI38" s="266"/>
      <c r="AJ38" s="266"/>
      <c r="AK38" s="266"/>
      <c r="AL38" s="266"/>
      <c r="AM38" s="266"/>
      <c r="AN38" s="266"/>
      <c r="AO38" s="266"/>
    </row>
    <row r="39" spans="1:41" ht="18.75">
      <c r="A39" s="266"/>
      <c r="B39" s="266"/>
      <c r="C39" s="266"/>
      <c r="D39" s="712"/>
      <c r="E39" s="266"/>
      <c r="F39" s="266"/>
      <c r="G39" s="266"/>
      <c r="H39" s="266"/>
      <c r="I39" s="266"/>
      <c r="J39" s="266"/>
      <c r="K39" s="266"/>
      <c r="L39" s="266"/>
      <c r="M39" s="266"/>
      <c r="N39" s="266"/>
      <c r="O39" s="266"/>
      <c r="P39" s="266"/>
      <c r="Q39" s="266"/>
      <c r="R39" s="266"/>
      <c r="S39" s="546"/>
      <c r="T39" s="266"/>
      <c r="U39" s="266"/>
      <c r="V39" s="266"/>
      <c r="W39" s="266"/>
      <c r="X39" s="266"/>
      <c r="Y39" s="266"/>
      <c r="Z39" s="266"/>
      <c r="AA39" s="266"/>
      <c r="AB39" s="266"/>
      <c r="AC39" s="266"/>
      <c r="AD39" s="713"/>
      <c r="AE39" s="266"/>
      <c r="AF39" s="266"/>
      <c r="AG39" s="266"/>
      <c r="AH39" s="266"/>
      <c r="AI39" s="266"/>
      <c r="AJ39" s="266"/>
      <c r="AK39" s="266"/>
      <c r="AL39" s="266"/>
      <c r="AM39" s="266"/>
      <c r="AN39" s="266"/>
      <c r="AO39" s="266"/>
    </row>
    <row r="40" spans="1:41" ht="22.5" customHeight="1">
      <c r="A40" s="266"/>
      <c r="B40" s="266"/>
      <c r="C40" s="266"/>
      <c r="D40" s="712"/>
      <c r="E40" s="266"/>
      <c r="F40" s="266"/>
      <c r="G40" s="266"/>
      <c r="H40" s="266"/>
      <c r="I40" s="266"/>
      <c r="J40" s="266"/>
      <c r="K40" s="266"/>
      <c r="L40" s="266"/>
      <c r="M40" s="266"/>
      <c r="N40" s="266"/>
      <c r="O40" s="266"/>
      <c r="P40" s="266"/>
      <c r="Q40" s="266"/>
      <c r="R40" s="266"/>
      <c r="S40" s="546"/>
      <c r="T40" s="266"/>
      <c r="U40" s="266"/>
      <c r="V40" s="266"/>
      <c r="W40" s="266"/>
      <c r="X40" s="266"/>
      <c r="Y40" s="266"/>
      <c r="Z40" s="266"/>
      <c r="AA40" s="266"/>
      <c r="AB40" s="266"/>
      <c r="AC40" s="266"/>
      <c r="AD40" s="713"/>
      <c r="AE40" s="266"/>
      <c r="AF40" s="266"/>
      <c r="AG40" s="266"/>
      <c r="AH40" s="266"/>
      <c r="AI40" s="266"/>
      <c r="AJ40" s="266"/>
      <c r="AK40" s="266"/>
      <c r="AL40" s="266"/>
      <c r="AM40" s="266"/>
      <c r="AN40" s="266"/>
      <c r="AO40" s="266"/>
    </row>
    <row r="41" spans="1:41" ht="18.75">
      <c r="A41" s="266"/>
      <c r="B41" s="266"/>
      <c r="C41" s="266"/>
      <c r="D41" s="712"/>
      <c r="E41" s="266"/>
      <c r="F41" s="266"/>
      <c r="G41" s="266"/>
      <c r="H41" s="266"/>
      <c r="I41" s="266"/>
      <c r="J41" s="266"/>
      <c r="K41" s="266"/>
      <c r="L41" s="266"/>
      <c r="M41" s="266"/>
      <c r="N41" s="266"/>
      <c r="O41" s="266"/>
      <c r="P41" s="266"/>
      <c r="Q41" s="266"/>
      <c r="R41" s="266"/>
      <c r="S41" s="546"/>
      <c r="T41" s="266"/>
      <c r="U41" s="266"/>
      <c r="V41" s="266"/>
      <c r="W41" s="266"/>
      <c r="X41" s="266"/>
      <c r="Y41" s="266"/>
      <c r="Z41" s="266"/>
      <c r="AA41" s="266"/>
      <c r="AB41" s="266"/>
      <c r="AC41" s="266"/>
      <c r="AD41" s="713"/>
      <c r="AE41" s="266"/>
      <c r="AF41" s="266"/>
      <c r="AG41" s="266"/>
      <c r="AH41" s="266"/>
      <c r="AI41" s="266"/>
      <c r="AJ41" s="266"/>
      <c r="AK41" s="266"/>
      <c r="AL41" s="266"/>
      <c r="AM41" s="266"/>
      <c r="AN41" s="266"/>
      <c r="AO41" s="266"/>
    </row>
    <row r="42" spans="1:41" ht="18.75">
      <c r="A42" s="266"/>
      <c r="B42" s="266"/>
      <c r="C42" s="266"/>
      <c r="D42" s="712"/>
      <c r="E42" s="266"/>
      <c r="F42" s="266"/>
      <c r="G42" s="266"/>
      <c r="H42" s="266"/>
      <c r="I42" s="266"/>
      <c r="J42" s="266"/>
      <c r="K42" s="266"/>
      <c r="L42" s="266"/>
      <c r="M42" s="266"/>
      <c r="N42" s="266"/>
      <c r="O42" s="266"/>
      <c r="P42" s="266"/>
      <c r="Q42" s="266"/>
      <c r="R42" s="266"/>
      <c r="S42" s="546"/>
      <c r="T42" s="266"/>
      <c r="U42" s="266"/>
      <c r="V42" s="266"/>
      <c r="W42" s="266"/>
      <c r="X42" s="266"/>
      <c r="Y42" s="266"/>
      <c r="Z42" s="266"/>
      <c r="AA42" s="266"/>
      <c r="AB42" s="266"/>
      <c r="AC42" s="266"/>
      <c r="AD42" s="713"/>
      <c r="AE42" s="266"/>
      <c r="AF42" s="266"/>
      <c r="AG42" s="266"/>
      <c r="AH42" s="266"/>
      <c r="AI42" s="266"/>
      <c r="AJ42" s="266"/>
      <c r="AK42" s="266"/>
      <c r="AL42" s="266"/>
      <c r="AM42" s="266"/>
      <c r="AN42" s="266"/>
      <c r="AO42" s="266"/>
    </row>
    <row r="43" spans="1:41" ht="18.75">
      <c r="A43" s="266"/>
      <c r="B43" s="266"/>
      <c r="C43" s="266"/>
      <c r="D43" s="712"/>
      <c r="E43" s="266"/>
      <c r="F43" s="266"/>
      <c r="G43" s="266"/>
      <c r="H43" s="266"/>
      <c r="I43" s="266"/>
      <c r="J43" s="266"/>
      <c r="K43" s="266"/>
      <c r="L43" s="266"/>
      <c r="M43" s="266"/>
      <c r="N43" s="266"/>
      <c r="O43" s="266"/>
      <c r="P43" s="266"/>
      <c r="Q43" s="266"/>
      <c r="R43" s="266"/>
      <c r="S43" s="546"/>
      <c r="T43" s="266"/>
      <c r="U43" s="266"/>
      <c r="V43" s="266"/>
      <c r="W43" s="266"/>
      <c r="X43" s="266"/>
      <c r="Y43" s="266"/>
      <c r="Z43" s="266"/>
      <c r="AA43" s="266"/>
      <c r="AB43" s="266"/>
      <c r="AC43" s="266"/>
      <c r="AD43" s="713"/>
      <c r="AE43" s="266"/>
      <c r="AF43" s="266"/>
      <c r="AG43" s="266"/>
      <c r="AH43" s="266"/>
      <c r="AI43" s="266"/>
      <c r="AJ43" s="266"/>
      <c r="AK43" s="266"/>
      <c r="AL43" s="266"/>
      <c r="AM43" s="266"/>
      <c r="AN43" s="266"/>
      <c r="AO43" s="266"/>
    </row>
    <row r="44" spans="1:41" ht="18.75">
      <c r="A44" s="266"/>
      <c r="B44" s="266"/>
      <c r="C44" s="266"/>
      <c r="D44" s="712"/>
      <c r="E44" s="266"/>
      <c r="F44" s="266"/>
      <c r="G44" s="266"/>
      <c r="H44" s="266"/>
      <c r="I44" s="266"/>
      <c r="J44" s="266"/>
      <c r="K44" s="266"/>
      <c r="L44" s="266"/>
      <c r="M44" s="266"/>
      <c r="N44" s="266"/>
      <c r="O44" s="266"/>
      <c r="P44" s="266"/>
      <c r="Q44" s="266"/>
      <c r="R44" s="266"/>
      <c r="S44" s="546"/>
      <c r="T44" s="266"/>
      <c r="U44" s="266"/>
      <c r="V44" s="266"/>
      <c r="W44" s="266"/>
      <c r="X44" s="266"/>
      <c r="Y44" s="266"/>
      <c r="Z44" s="266"/>
      <c r="AA44" s="266"/>
      <c r="AB44" s="266"/>
      <c r="AC44" s="266"/>
      <c r="AD44" s="713"/>
      <c r="AE44" s="266"/>
      <c r="AF44" s="266"/>
      <c r="AG44" s="266"/>
      <c r="AH44" s="266"/>
      <c r="AI44" s="266"/>
      <c r="AJ44" s="266"/>
      <c r="AK44" s="266"/>
      <c r="AL44" s="266"/>
      <c r="AM44" s="266"/>
      <c r="AN44" s="266"/>
      <c r="AO44" s="266"/>
    </row>
    <row r="45" spans="1:41" ht="18.75">
      <c r="B45" s="266"/>
      <c r="C45" s="266"/>
      <c r="D45" s="712"/>
      <c r="F45" s="266"/>
      <c r="H45" s="266"/>
      <c r="J45" s="266"/>
      <c r="M45" s="266"/>
      <c r="O45" s="266"/>
      <c r="S45" s="546"/>
      <c r="AD45" s="713"/>
    </row>
    <row r="46" spans="1:41" ht="18.75">
      <c r="B46" s="266"/>
      <c r="C46" s="266"/>
      <c r="D46" s="712"/>
      <c r="F46" s="266"/>
      <c r="H46" s="266"/>
      <c r="J46" s="266"/>
      <c r="M46" s="266"/>
      <c r="S46" s="546"/>
      <c r="AD46" s="713"/>
    </row>
    <row r="47" spans="1:41" ht="18.75">
      <c r="B47" s="266"/>
      <c r="C47" s="266"/>
      <c r="D47" s="712"/>
      <c r="M47" s="266"/>
      <c r="S47" s="546"/>
      <c r="AD47" s="713"/>
    </row>
    <row r="48" spans="1:41" ht="18.75">
      <c r="B48" s="266"/>
      <c r="C48" s="266"/>
      <c r="D48" s="712"/>
      <c r="AD48" s="713"/>
    </row>
    <row r="49" spans="2:30" ht="18.75">
      <c r="B49" s="266"/>
      <c r="C49" s="266"/>
      <c r="D49" s="266"/>
      <c r="AD49" s="713"/>
    </row>
  </sheetData>
  <mergeCells count="67">
    <mergeCell ref="A2:AO2"/>
    <mergeCell ref="A3:AO3"/>
    <mergeCell ref="I4:J4"/>
    <mergeCell ref="M4:Q4"/>
    <mergeCell ref="X4:Y4"/>
    <mergeCell ref="AA4:AE4"/>
    <mergeCell ref="AG4:AK4"/>
    <mergeCell ref="AF5:AO5"/>
    <mergeCell ref="C6:C14"/>
    <mergeCell ref="D6:L6"/>
    <mergeCell ref="M6:M14"/>
    <mergeCell ref="N6:Q6"/>
    <mergeCell ref="R6:R14"/>
    <mergeCell ref="V7:W7"/>
    <mergeCell ref="X7:X14"/>
    <mergeCell ref="AB6:AE6"/>
    <mergeCell ref="AF6:AF14"/>
    <mergeCell ref="AG6:AL6"/>
    <mergeCell ref="AM6:AM14"/>
    <mergeCell ref="E8:E14"/>
    <mergeCell ref="F8:F14"/>
    <mergeCell ref="G8:G14"/>
    <mergeCell ref="H8:H14"/>
    <mergeCell ref="A5:A14"/>
    <mergeCell ref="B5:B14"/>
    <mergeCell ref="C5:Q5"/>
    <mergeCell ref="R5:AE5"/>
    <mergeCell ref="AN6:AO6"/>
    <mergeCell ref="D7:D14"/>
    <mergeCell ref="E7:F7"/>
    <mergeCell ref="G7:H7"/>
    <mergeCell ref="I7:I14"/>
    <mergeCell ref="J7:J14"/>
    <mergeCell ref="K7:K14"/>
    <mergeCell ref="L7:L14"/>
    <mergeCell ref="N7:O7"/>
    <mergeCell ref="P7:Q7"/>
    <mergeCell ref="S6:Z6"/>
    <mergeCell ref="AA6:AA14"/>
    <mergeCell ref="AN7:AN14"/>
    <mergeCell ref="T7:U7"/>
    <mergeCell ref="W8:W14"/>
    <mergeCell ref="AB8:AB14"/>
    <mergeCell ref="AC8:AC14"/>
    <mergeCell ref="AD8:AD14"/>
    <mergeCell ref="AE8:AE14"/>
    <mergeCell ref="S7:S14"/>
    <mergeCell ref="N8:N14"/>
    <mergeCell ref="AJ7:AJ14"/>
    <mergeCell ref="AK7:AK14"/>
    <mergeCell ref="AL7:AL14"/>
    <mergeCell ref="AD1:AE1"/>
    <mergeCell ref="AO7:AO14"/>
    <mergeCell ref="AH8:AH14"/>
    <mergeCell ref="O8:O14"/>
    <mergeCell ref="P8:P14"/>
    <mergeCell ref="Q8:Q14"/>
    <mergeCell ref="T8:T14"/>
    <mergeCell ref="U8:U14"/>
    <mergeCell ref="V8:V14"/>
    <mergeCell ref="Y7:Y14"/>
    <mergeCell ref="Z7:Z14"/>
    <mergeCell ref="AB7:AC7"/>
    <mergeCell ref="AD7:AE7"/>
    <mergeCell ref="AG7:AG14"/>
    <mergeCell ref="AH7:AI7"/>
    <mergeCell ref="AI8:AI14"/>
  </mergeCells>
  <printOptions horizontalCentered="1"/>
  <pageMargins left="0.31" right="0.21" top="0.52" bottom="0.4" header="0.36" footer="0.17"/>
  <pageSetup paperSize="9" scale="66" fitToHeight="5" orientation="portrait" r:id="rId1"/>
  <headerFooter alignWithMargins="0">
    <oddHeader xml:space="preserve">&amp;C
                                                                                                                                 </oddHeader>
    <oddFooter>&amp;C&amp;".VnTimeH,Regular"
&amp;P/&amp;N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A1:L29"/>
  <sheetViews>
    <sheetView showZeros="0" zoomScaleNormal="100" workbookViewId="0">
      <pane xSplit="2" ySplit="9" topLeftCell="C10" activePane="bottomRight" state="frozen"/>
      <selection activeCell="A40" sqref="A40:XFD41"/>
      <selection pane="topRight" activeCell="A40" sqref="A40:XFD41"/>
      <selection pane="bottomLeft" activeCell="A40" sqref="A40:XFD41"/>
      <selection pane="bottomRight" activeCell="A40" sqref="A40:XFD41"/>
    </sheetView>
  </sheetViews>
  <sheetFormatPr defaultColWidth="8" defaultRowHeight="18.75"/>
  <cols>
    <col min="1" max="1" width="5.85546875" style="750" customWidth="1"/>
    <col min="2" max="2" width="31.140625" style="750" customWidth="1"/>
    <col min="3" max="3" width="15" style="750" customWidth="1"/>
    <col min="4" max="4" width="12.7109375" style="750" customWidth="1"/>
    <col min="5" max="5" width="11.5703125" style="750" customWidth="1"/>
    <col min="6" max="6" width="12.28515625" style="750" customWidth="1"/>
    <col min="7" max="7" width="11.85546875" style="750" customWidth="1"/>
    <col min="8" max="8" width="11.7109375" style="750" customWidth="1"/>
    <col min="9" max="9" width="11.5703125" style="750" customWidth="1"/>
    <col min="10" max="11" width="11.85546875" style="750" customWidth="1"/>
    <col min="12" max="12" width="14.5703125" style="750" customWidth="1"/>
    <col min="13" max="256" width="8" style="750"/>
    <col min="257" max="257" width="5.85546875" style="750" customWidth="1"/>
    <col min="258" max="258" width="31.140625" style="750" customWidth="1"/>
    <col min="259" max="259" width="15" style="750" customWidth="1"/>
    <col min="260" max="260" width="12.7109375" style="750" customWidth="1"/>
    <col min="261" max="261" width="11.5703125" style="750" customWidth="1"/>
    <col min="262" max="262" width="12.28515625" style="750" customWidth="1"/>
    <col min="263" max="263" width="11.85546875" style="750" customWidth="1"/>
    <col min="264" max="264" width="11.7109375" style="750" customWidth="1"/>
    <col min="265" max="265" width="11.5703125" style="750" customWidth="1"/>
    <col min="266" max="267" width="11.85546875" style="750" customWidth="1"/>
    <col min="268" max="268" width="14.5703125" style="750" customWidth="1"/>
    <col min="269" max="512" width="8" style="750"/>
    <col min="513" max="513" width="5.85546875" style="750" customWidth="1"/>
    <col min="514" max="514" width="31.140625" style="750" customWidth="1"/>
    <col min="515" max="515" width="15" style="750" customWidth="1"/>
    <col min="516" max="516" width="12.7109375" style="750" customWidth="1"/>
    <col min="517" max="517" width="11.5703125" style="750" customWidth="1"/>
    <col min="518" max="518" width="12.28515625" style="750" customWidth="1"/>
    <col min="519" max="519" width="11.85546875" style="750" customWidth="1"/>
    <col min="520" max="520" width="11.7109375" style="750" customWidth="1"/>
    <col min="521" max="521" width="11.5703125" style="750" customWidth="1"/>
    <col min="522" max="523" width="11.85546875" style="750" customWidth="1"/>
    <col min="524" max="524" width="14.5703125" style="750" customWidth="1"/>
    <col min="525" max="768" width="8" style="750"/>
    <col min="769" max="769" width="5.85546875" style="750" customWidth="1"/>
    <col min="770" max="770" width="31.140625" style="750" customWidth="1"/>
    <col min="771" max="771" width="15" style="750" customWidth="1"/>
    <col min="772" max="772" width="12.7109375" style="750" customWidth="1"/>
    <col min="773" max="773" width="11.5703125" style="750" customWidth="1"/>
    <col min="774" max="774" width="12.28515625" style="750" customWidth="1"/>
    <col min="775" max="775" width="11.85546875" style="750" customWidth="1"/>
    <col min="776" max="776" width="11.7109375" style="750" customWidth="1"/>
    <col min="777" max="777" width="11.5703125" style="750" customWidth="1"/>
    <col min="778" max="779" width="11.85546875" style="750" customWidth="1"/>
    <col min="780" max="780" width="14.5703125" style="750" customWidth="1"/>
    <col min="781" max="1024" width="8" style="750"/>
    <col min="1025" max="1025" width="5.85546875" style="750" customWidth="1"/>
    <col min="1026" max="1026" width="31.140625" style="750" customWidth="1"/>
    <col min="1027" max="1027" width="15" style="750" customWidth="1"/>
    <col min="1028" max="1028" width="12.7109375" style="750" customWidth="1"/>
    <col min="1029" max="1029" width="11.5703125" style="750" customWidth="1"/>
    <col min="1030" max="1030" width="12.28515625" style="750" customWidth="1"/>
    <col min="1031" max="1031" width="11.85546875" style="750" customWidth="1"/>
    <col min="1032" max="1032" width="11.7109375" style="750" customWidth="1"/>
    <col min="1033" max="1033" width="11.5703125" style="750" customWidth="1"/>
    <col min="1034" max="1035" width="11.85546875" style="750" customWidth="1"/>
    <col min="1036" max="1036" width="14.5703125" style="750" customWidth="1"/>
    <col min="1037" max="1280" width="8" style="750"/>
    <col min="1281" max="1281" width="5.85546875" style="750" customWidth="1"/>
    <col min="1282" max="1282" width="31.140625" style="750" customWidth="1"/>
    <col min="1283" max="1283" width="15" style="750" customWidth="1"/>
    <col min="1284" max="1284" width="12.7109375" style="750" customWidth="1"/>
    <col min="1285" max="1285" width="11.5703125" style="750" customWidth="1"/>
    <col min="1286" max="1286" width="12.28515625" style="750" customWidth="1"/>
    <col min="1287" max="1287" width="11.85546875" style="750" customWidth="1"/>
    <col min="1288" max="1288" width="11.7109375" style="750" customWidth="1"/>
    <col min="1289" max="1289" width="11.5703125" style="750" customWidth="1"/>
    <col min="1290" max="1291" width="11.85546875" style="750" customWidth="1"/>
    <col min="1292" max="1292" width="14.5703125" style="750" customWidth="1"/>
    <col min="1293" max="1536" width="8" style="750"/>
    <col min="1537" max="1537" width="5.85546875" style="750" customWidth="1"/>
    <col min="1538" max="1538" width="31.140625" style="750" customWidth="1"/>
    <col min="1539" max="1539" width="15" style="750" customWidth="1"/>
    <col min="1540" max="1540" width="12.7109375" style="750" customWidth="1"/>
    <col min="1541" max="1541" width="11.5703125" style="750" customWidth="1"/>
    <col min="1542" max="1542" width="12.28515625" style="750" customWidth="1"/>
    <col min="1543" max="1543" width="11.85546875" style="750" customWidth="1"/>
    <col min="1544" max="1544" width="11.7109375" style="750" customWidth="1"/>
    <col min="1545" max="1545" width="11.5703125" style="750" customWidth="1"/>
    <col min="1546" max="1547" width="11.85546875" style="750" customWidth="1"/>
    <col min="1548" max="1548" width="14.5703125" style="750" customWidth="1"/>
    <col min="1549" max="1792" width="8" style="750"/>
    <col min="1793" max="1793" width="5.85546875" style="750" customWidth="1"/>
    <col min="1794" max="1794" width="31.140625" style="750" customWidth="1"/>
    <col min="1795" max="1795" width="15" style="750" customWidth="1"/>
    <col min="1796" max="1796" width="12.7109375" style="750" customWidth="1"/>
    <col min="1797" max="1797" width="11.5703125" style="750" customWidth="1"/>
    <col min="1798" max="1798" width="12.28515625" style="750" customWidth="1"/>
    <col min="1799" max="1799" width="11.85546875" style="750" customWidth="1"/>
    <col min="1800" max="1800" width="11.7109375" style="750" customWidth="1"/>
    <col min="1801" max="1801" width="11.5703125" style="750" customWidth="1"/>
    <col min="1802" max="1803" width="11.85546875" style="750" customWidth="1"/>
    <col min="1804" max="1804" width="14.5703125" style="750" customWidth="1"/>
    <col min="1805" max="2048" width="8" style="750"/>
    <col min="2049" max="2049" width="5.85546875" style="750" customWidth="1"/>
    <col min="2050" max="2050" width="31.140625" style="750" customWidth="1"/>
    <col min="2051" max="2051" width="15" style="750" customWidth="1"/>
    <col min="2052" max="2052" width="12.7109375" style="750" customWidth="1"/>
    <col min="2053" max="2053" width="11.5703125" style="750" customWidth="1"/>
    <col min="2054" max="2054" width="12.28515625" style="750" customWidth="1"/>
    <col min="2055" max="2055" width="11.85546875" style="750" customWidth="1"/>
    <col min="2056" max="2056" width="11.7109375" style="750" customWidth="1"/>
    <col min="2057" max="2057" width="11.5703125" style="750" customWidth="1"/>
    <col min="2058" max="2059" width="11.85546875" style="750" customWidth="1"/>
    <col min="2060" max="2060" width="14.5703125" style="750" customWidth="1"/>
    <col min="2061" max="2304" width="8" style="750"/>
    <col min="2305" max="2305" width="5.85546875" style="750" customWidth="1"/>
    <col min="2306" max="2306" width="31.140625" style="750" customWidth="1"/>
    <col min="2307" max="2307" width="15" style="750" customWidth="1"/>
    <col min="2308" max="2308" width="12.7109375" style="750" customWidth="1"/>
    <col min="2309" max="2309" width="11.5703125" style="750" customWidth="1"/>
    <col min="2310" max="2310" width="12.28515625" style="750" customWidth="1"/>
    <col min="2311" max="2311" width="11.85546875" style="750" customWidth="1"/>
    <col min="2312" max="2312" width="11.7109375" style="750" customWidth="1"/>
    <col min="2313" max="2313" width="11.5703125" style="750" customWidth="1"/>
    <col min="2314" max="2315" width="11.85546875" style="750" customWidth="1"/>
    <col min="2316" max="2316" width="14.5703125" style="750" customWidth="1"/>
    <col min="2317" max="2560" width="8" style="750"/>
    <col min="2561" max="2561" width="5.85546875" style="750" customWidth="1"/>
    <col min="2562" max="2562" width="31.140625" style="750" customWidth="1"/>
    <col min="2563" max="2563" width="15" style="750" customWidth="1"/>
    <col min="2564" max="2564" width="12.7109375" style="750" customWidth="1"/>
    <col min="2565" max="2565" width="11.5703125" style="750" customWidth="1"/>
    <col min="2566" max="2566" width="12.28515625" style="750" customWidth="1"/>
    <col min="2567" max="2567" width="11.85546875" style="750" customWidth="1"/>
    <col min="2568" max="2568" width="11.7109375" style="750" customWidth="1"/>
    <col min="2569" max="2569" width="11.5703125" style="750" customWidth="1"/>
    <col min="2570" max="2571" width="11.85546875" style="750" customWidth="1"/>
    <col min="2572" max="2572" width="14.5703125" style="750" customWidth="1"/>
    <col min="2573" max="2816" width="8" style="750"/>
    <col min="2817" max="2817" width="5.85546875" style="750" customWidth="1"/>
    <col min="2818" max="2818" width="31.140625" style="750" customWidth="1"/>
    <col min="2819" max="2819" width="15" style="750" customWidth="1"/>
    <col min="2820" max="2820" width="12.7109375" style="750" customWidth="1"/>
    <col min="2821" max="2821" width="11.5703125" style="750" customWidth="1"/>
    <col min="2822" max="2822" width="12.28515625" style="750" customWidth="1"/>
    <col min="2823" max="2823" width="11.85546875" style="750" customWidth="1"/>
    <col min="2824" max="2824" width="11.7109375" style="750" customWidth="1"/>
    <col min="2825" max="2825" width="11.5703125" style="750" customWidth="1"/>
    <col min="2826" max="2827" width="11.85546875" style="750" customWidth="1"/>
    <col min="2828" max="2828" width="14.5703125" style="750" customWidth="1"/>
    <col min="2829" max="3072" width="8" style="750"/>
    <col min="3073" max="3073" width="5.85546875" style="750" customWidth="1"/>
    <col min="3074" max="3074" width="31.140625" style="750" customWidth="1"/>
    <col min="3075" max="3075" width="15" style="750" customWidth="1"/>
    <col min="3076" max="3076" width="12.7109375" style="750" customWidth="1"/>
    <col min="3077" max="3077" width="11.5703125" style="750" customWidth="1"/>
    <col min="3078" max="3078" width="12.28515625" style="750" customWidth="1"/>
    <col min="3079" max="3079" width="11.85546875" style="750" customWidth="1"/>
    <col min="3080" max="3080" width="11.7109375" style="750" customWidth="1"/>
    <col min="3081" max="3081" width="11.5703125" style="750" customWidth="1"/>
    <col min="3082" max="3083" width="11.85546875" style="750" customWidth="1"/>
    <col min="3084" max="3084" width="14.5703125" style="750" customWidth="1"/>
    <col min="3085" max="3328" width="8" style="750"/>
    <col min="3329" max="3329" width="5.85546875" style="750" customWidth="1"/>
    <col min="3330" max="3330" width="31.140625" style="750" customWidth="1"/>
    <col min="3331" max="3331" width="15" style="750" customWidth="1"/>
    <col min="3332" max="3332" width="12.7109375" style="750" customWidth="1"/>
    <col min="3333" max="3333" width="11.5703125" style="750" customWidth="1"/>
    <col min="3334" max="3334" width="12.28515625" style="750" customWidth="1"/>
    <col min="3335" max="3335" width="11.85546875" style="750" customWidth="1"/>
    <col min="3336" max="3336" width="11.7109375" style="750" customWidth="1"/>
    <col min="3337" max="3337" width="11.5703125" style="750" customWidth="1"/>
    <col min="3338" max="3339" width="11.85546875" style="750" customWidth="1"/>
    <col min="3340" max="3340" width="14.5703125" style="750" customWidth="1"/>
    <col min="3341" max="3584" width="8" style="750"/>
    <col min="3585" max="3585" width="5.85546875" style="750" customWidth="1"/>
    <col min="3586" max="3586" width="31.140625" style="750" customWidth="1"/>
    <col min="3587" max="3587" width="15" style="750" customWidth="1"/>
    <col min="3588" max="3588" width="12.7109375" style="750" customWidth="1"/>
    <col min="3589" max="3589" width="11.5703125" style="750" customWidth="1"/>
    <col min="3590" max="3590" width="12.28515625" style="750" customWidth="1"/>
    <col min="3591" max="3591" width="11.85546875" style="750" customWidth="1"/>
    <col min="3592" max="3592" width="11.7109375" style="750" customWidth="1"/>
    <col min="3593" max="3593" width="11.5703125" style="750" customWidth="1"/>
    <col min="3594" max="3595" width="11.85546875" style="750" customWidth="1"/>
    <col min="3596" max="3596" width="14.5703125" style="750" customWidth="1"/>
    <col min="3597" max="3840" width="8" style="750"/>
    <col min="3841" max="3841" width="5.85546875" style="750" customWidth="1"/>
    <col min="3842" max="3842" width="31.140625" style="750" customWidth="1"/>
    <col min="3843" max="3843" width="15" style="750" customWidth="1"/>
    <col min="3844" max="3844" width="12.7109375" style="750" customWidth="1"/>
    <col min="3845" max="3845" width="11.5703125" style="750" customWidth="1"/>
    <col min="3846" max="3846" width="12.28515625" style="750" customWidth="1"/>
    <col min="3847" max="3847" width="11.85546875" style="750" customWidth="1"/>
    <col min="3848" max="3848" width="11.7109375" style="750" customWidth="1"/>
    <col min="3849" max="3849" width="11.5703125" style="750" customWidth="1"/>
    <col min="3850" max="3851" width="11.85546875" style="750" customWidth="1"/>
    <col min="3852" max="3852" width="14.5703125" style="750" customWidth="1"/>
    <col min="3853" max="4096" width="8" style="750"/>
    <col min="4097" max="4097" width="5.85546875" style="750" customWidth="1"/>
    <col min="4098" max="4098" width="31.140625" style="750" customWidth="1"/>
    <col min="4099" max="4099" width="15" style="750" customWidth="1"/>
    <col min="4100" max="4100" width="12.7109375" style="750" customWidth="1"/>
    <col min="4101" max="4101" width="11.5703125" style="750" customWidth="1"/>
    <col min="4102" max="4102" width="12.28515625" style="750" customWidth="1"/>
    <col min="4103" max="4103" width="11.85546875" style="750" customWidth="1"/>
    <col min="4104" max="4104" width="11.7109375" style="750" customWidth="1"/>
    <col min="4105" max="4105" width="11.5703125" style="750" customWidth="1"/>
    <col min="4106" max="4107" width="11.85546875" style="750" customWidth="1"/>
    <col min="4108" max="4108" width="14.5703125" style="750" customWidth="1"/>
    <col min="4109" max="4352" width="8" style="750"/>
    <col min="4353" max="4353" width="5.85546875" style="750" customWidth="1"/>
    <col min="4354" max="4354" width="31.140625" style="750" customWidth="1"/>
    <col min="4355" max="4355" width="15" style="750" customWidth="1"/>
    <col min="4356" max="4356" width="12.7109375" style="750" customWidth="1"/>
    <col min="4357" max="4357" width="11.5703125" style="750" customWidth="1"/>
    <col min="4358" max="4358" width="12.28515625" style="750" customWidth="1"/>
    <col min="4359" max="4359" width="11.85546875" style="750" customWidth="1"/>
    <col min="4360" max="4360" width="11.7109375" style="750" customWidth="1"/>
    <col min="4361" max="4361" width="11.5703125" style="750" customWidth="1"/>
    <col min="4362" max="4363" width="11.85546875" style="750" customWidth="1"/>
    <col min="4364" max="4364" width="14.5703125" style="750" customWidth="1"/>
    <col min="4365" max="4608" width="8" style="750"/>
    <col min="4609" max="4609" width="5.85546875" style="750" customWidth="1"/>
    <col min="4610" max="4610" width="31.140625" style="750" customWidth="1"/>
    <col min="4611" max="4611" width="15" style="750" customWidth="1"/>
    <col min="4612" max="4612" width="12.7109375" style="750" customWidth="1"/>
    <col min="4613" max="4613" width="11.5703125" style="750" customWidth="1"/>
    <col min="4614" max="4614" width="12.28515625" style="750" customWidth="1"/>
    <col min="4615" max="4615" width="11.85546875" style="750" customWidth="1"/>
    <col min="4616" max="4616" width="11.7109375" style="750" customWidth="1"/>
    <col min="4617" max="4617" width="11.5703125" style="750" customWidth="1"/>
    <col min="4618" max="4619" width="11.85546875" style="750" customWidth="1"/>
    <col min="4620" max="4620" width="14.5703125" style="750" customWidth="1"/>
    <col min="4621" max="4864" width="8" style="750"/>
    <col min="4865" max="4865" width="5.85546875" style="750" customWidth="1"/>
    <col min="4866" max="4866" width="31.140625" style="750" customWidth="1"/>
    <col min="4867" max="4867" width="15" style="750" customWidth="1"/>
    <col min="4868" max="4868" width="12.7109375" style="750" customWidth="1"/>
    <col min="4869" max="4869" width="11.5703125" style="750" customWidth="1"/>
    <col min="4870" max="4870" width="12.28515625" style="750" customWidth="1"/>
    <col min="4871" max="4871" width="11.85546875" style="750" customWidth="1"/>
    <col min="4872" max="4872" width="11.7109375" style="750" customWidth="1"/>
    <col min="4873" max="4873" width="11.5703125" style="750" customWidth="1"/>
    <col min="4874" max="4875" width="11.85546875" style="750" customWidth="1"/>
    <col min="4876" max="4876" width="14.5703125" style="750" customWidth="1"/>
    <col min="4877" max="5120" width="8" style="750"/>
    <col min="5121" max="5121" width="5.85546875" style="750" customWidth="1"/>
    <col min="5122" max="5122" width="31.140625" style="750" customWidth="1"/>
    <col min="5123" max="5123" width="15" style="750" customWidth="1"/>
    <col min="5124" max="5124" width="12.7109375" style="750" customWidth="1"/>
    <col min="5125" max="5125" width="11.5703125" style="750" customWidth="1"/>
    <col min="5126" max="5126" width="12.28515625" style="750" customWidth="1"/>
    <col min="5127" max="5127" width="11.85546875" style="750" customWidth="1"/>
    <col min="5128" max="5128" width="11.7109375" style="750" customWidth="1"/>
    <col min="5129" max="5129" width="11.5703125" style="750" customWidth="1"/>
    <col min="5130" max="5131" width="11.85546875" style="750" customWidth="1"/>
    <col min="5132" max="5132" width="14.5703125" style="750" customWidth="1"/>
    <col min="5133" max="5376" width="8" style="750"/>
    <col min="5377" max="5377" width="5.85546875" style="750" customWidth="1"/>
    <col min="5378" max="5378" width="31.140625" style="750" customWidth="1"/>
    <col min="5379" max="5379" width="15" style="750" customWidth="1"/>
    <col min="5380" max="5380" width="12.7109375" style="750" customWidth="1"/>
    <col min="5381" max="5381" width="11.5703125" style="750" customWidth="1"/>
    <col min="5382" max="5382" width="12.28515625" style="750" customWidth="1"/>
    <col min="5383" max="5383" width="11.85546875" style="750" customWidth="1"/>
    <col min="5384" max="5384" width="11.7109375" style="750" customWidth="1"/>
    <col min="5385" max="5385" width="11.5703125" style="750" customWidth="1"/>
    <col min="5386" max="5387" width="11.85546875" style="750" customWidth="1"/>
    <col min="5388" max="5388" width="14.5703125" style="750" customWidth="1"/>
    <col min="5389" max="5632" width="8" style="750"/>
    <col min="5633" max="5633" width="5.85546875" style="750" customWidth="1"/>
    <col min="5634" max="5634" width="31.140625" style="750" customWidth="1"/>
    <col min="5635" max="5635" width="15" style="750" customWidth="1"/>
    <col min="5636" max="5636" width="12.7109375" style="750" customWidth="1"/>
    <col min="5637" max="5637" width="11.5703125" style="750" customWidth="1"/>
    <col min="5638" max="5638" width="12.28515625" style="750" customWidth="1"/>
    <col min="5639" max="5639" width="11.85546875" style="750" customWidth="1"/>
    <col min="5640" max="5640" width="11.7109375" style="750" customWidth="1"/>
    <col min="5641" max="5641" width="11.5703125" style="750" customWidth="1"/>
    <col min="5642" max="5643" width="11.85546875" style="750" customWidth="1"/>
    <col min="5644" max="5644" width="14.5703125" style="750" customWidth="1"/>
    <col min="5645" max="5888" width="8" style="750"/>
    <col min="5889" max="5889" width="5.85546875" style="750" customWidth="1"/>
    <col min="5890" max="5890" width="31.140625" style="750" customWidth="1"/>
    <col min="5891" max="5891" width="15" style="750" customWidth="1"/>
    <col min="5892" max="5892" width="12.7109375" style="750" customWidth="1"/>
    <col min="5893" max="5893" width="11.5703125" style="750" customWidth="1"/>
    <col min="5894" max="5894" width="12.28515625" style="750" customWidth="1"/>
    <col min="5895" max="5895" width="11.85546875" style="750" customWidth="1"/>
    <col min="5896" max="5896" width="11.7109375" style="750" customWidth="1"/>
    <col min="5897" max="5897" width="11.5703125" style="750" customWidth="1"/>
    <col min="5898" max="5899" width="11.85546875" style="750" customWidth="1"/>
    <col min="5900" max="5900" width="14.5703125" style="750" customWidth="1"/>
    <col min="5901" max="6144" width="8" style="750"/>
    <col min="6145" max="6145" width="5.85546875" style="750" customWidth="1"/>
    <col min="6146" max="6146" width="31.140625" style="750" customWidth="1"/>
    <col min="6147" max="6147" width="15" style="750" customWidth="1"/>
    <col min="6148" max="6148" width="12.7109375" style="750" customWidth="1"/>
    <col min="6149" max="6149" width="11.5703125" style="750" customWidth="1"/>
    <col min="6150" max="6150" width="12.28515625" style="750" customWidth="1"/>
    <col min="6151" max="6151" width="11.85546875" style="750" customWidth="1"/>
    <col min="6152" max="6152" width="11.7109375" style="750" customWidth="1"/>
    <col min="6153" max="6153" width="11.5703125" style="750" customWidth="1"/>
    <col min="6154" max="6155" width="11.85546875" style="750" customWidth="1"/>
    <col min="6156" max="6156" width="14.5703125" style="750" customWidth="1"/>
    <col min="6157" max="6400" width="8" style="750"/>
    <col min="6401" max="6401" width="5.85546875" style="750" customWidth="1"/>
    <col min="6402" max="6402" width="31.140625" style="750" customWidth="1"/>
    <col min="6403" max="6403" width="15" style="750" customWidth="1"/>
    <col min="6404" max="6404" width="12.7109375" style="750" customWidth="1"/>
    <col min="6405" max="6405" width="11.5703125" style="750" customWidth="1"/>
    <col min="6406" max="6406" width="12.28515625" style="750" customWidth="1"/>
    <col min="6407" max="6407" width="11.85546875" style="750" customWidth="1"/>
    <col min="6408" max="6408" width="11.7109375" style="750" customWidth="1"/>
    <col min="6409" max="6409" width="11.5703125" style="750" customWidth="1"/>
    <col min="6410" max="6411" width="11.85546875" style="750" customWidth="1"/>
    <col min="6412" max="6412" width="14.5703125" style="750" customWidth="1"/>
    <col min="6413" max="6656" width="8" style="750"/>
    <col min="6657" max="6657" width="5.85546875" style="750" customWidth="1"/>
    <col min="6658" max="6658" width="31.140625" style="750" customWidth="1"/>
    <col min="6659" max="6659" width="15" style="750" customWidth="1"/>
    <col min="6660" max="6660" width="12.7109375" style="750" customWidth="1"/>
    <col min="6661" max="6661" width="11.5703125" style="750" customWidth="1"/>
    <col min="6662" max="6662" width="12.28515625" style="750" customWidth="1"/>
    <col min="6663" max="6663" width="11.85546875" style="750" customWidth="1"/>
    <col min="6664" max="6664" width="11.7109375" style="750" customWidth="1"/>
    <col min="6665" max="6665" width="11.5703125" style="750" customWidth="1"/>
    <col min="6666" max="6667" width="11.85546875" style="750" customWidth="1"/>
    <col min="6668" max="6668" width="14.5703125" style="750" customWidth="1"/>
    <col min="6669" max="6912" width="8" style="750"/>
    <col min="6913" max="6913" width="5.85546875" style="750" customWidth="1"/>
    <col min="6914" max="6914" width="31.140625" style="750" customWidth="1"/>
    <col min="6915" max="6915" width="15" style="750" customWidth="1"/>
    <col min="6916" max="6916" width="12.7109375" style="750" customWidth="1"/>
    <col min="6917" max="6917" width="11.5703125" style="750" customWidth="1"/>
    <col min="6918" max="6918" width="12.28515625" style="750" customWidth="1"/>
    <col min="6919" max="6919" width="11.85546875" style="750" customWidth="1"/>
    <col min="6920" max="6920" width="11.7109375" style="750" customWidth="1"/>
    <col min="6921" max="6921" width="11.5703125" style="750" customWidth="1"/>
    <col min="6922" max="6923" width="11.85546875" style="750" customWidth="1"/>
    <col min="6924" max="6924" width="14.5703125" style="750" customWidth="1"/>
    <col min="6925" max="7168" width="8" style="750"/>
    <col min="7169" max="7169" width="5.85546875" style="750" customWidth="1"/>
    <col min="7170" max="7170" width="31.140625" style="750" customWidth="1"/>
    <col min="7171" max="7171" width="15" style="750" customWidth="1"/>
    <col min="7172" max="7172" width="12.7109375" style="750" customWidth="1"/>
    <col min="7173" max="7173" width="11.5703125" style="750" customWidth="1"/>
    <col min="7174" max="7174" width="12.28515625" style="750" customWidth="1"/>
    <col min="7175" max="7175" width="11.85546875" style="750" customWidth="1"/>
    <col min="7176" max="7176" width="11.7109375" style="750" customWidth="1"/>
    <col min="7177" max="7177" width="11.5703125" style="750" customWidth="1"/>
    <col min="7178" max="7179" width="11.85546875" style="750" customWidth="1"/>
    <col min="7180" max="7180" width="14.5703125" style="750" customWidth="1"/>
    <col min="7181" max="7424" width="8" style="750"/>
    <col min="7425" max="7425" width="5.85546875" style="750" customWidth="1"/>
    <col min="7426" max="7426" width="31.140625" style="750" customWidth="1"/>
    <col min="7427" max="7427" width="15" style="750" customWidth="1"/>
    <col min="7428" max="7428" width="12.7109375" style="750" customWidth="1"/>
    <col min="7429" max="7429" width="11.5703125" style="750" customWidth="1"/>
    <col min="7430" max="7430" width="12.28515625" style="750" customWidth="1"/>
    <col min="7431" max="7431" width="11.85546875" style="750" customWidth="1"/>
    <col min="7432" max="7432" width="11.7109375" style="750" customWidth="1"/>
    <col min="7433" max="7433" width="11.5703125" style="750" customWidth="1"/>
    <col min="7434" max="7435" width="11.85546875" style="750" customWidth="1"/>
    <col min="7436" max="7436" width="14.5703125" style="750" customWidth="1"/>
    <col min="7437" max="7680" width="8" style="750"/>
    <col min="7681" max="7681" width="5.85546875" style="750" customWidth="1"/>
    <col min="7682" max="7682" width="31.140625" style="750" customWidth="1"/>
    <col min="7683" max="7683" width="15" style="750" customWidth="1"/>
    <col min="7684" max="7684" width="12.7109375" style="750" customWidth="1"/>
    <col min="7685" max="7685" width="11.5703125" style="750" customWidth="1"/>
    <col min="7686" max="7686" width="12.28515625" style="750" customWidth="1"/>
    <col min="7687" max="7687" width="11.85546875" style="750" customWidth="1"/>
    <col min="7688" max="7688" width="11.7109375" style="750" customWidth="1"/>
    <col min="7689" max="7689" width="11.5703125" style="750" customWidth="1"/>
    <col min="7690" max="7691" width="11.85546875" style="750" customWidth="1"/>
    <col min="7692" max="7692" width="14.5703125" style="750" customWidth="1"/>
    <col min="7693" max="7936" width="8" style="750"/>
    <col min="7937" max="7937" width="5.85546875" style="750" customWidth="1"/>
    <col min="7938" max="7938" width="31.140625" style="750" customWidth="1"/>
    <col min="7939" max="7939" width="15" style="750" customWidth="1"/>
    <col min="7940" max="7940" width="12.7109375" style="750" customWidth="1"/>
    <col min="7941" max="7941" width="11.5703125" style="750" customWidth="1"/>
    <col min="7942" max="7942" width="12.28515625" style="750" customWidth="1"/>
    <col min="7943" max="7943" width="11.85546875" style="750" customWidth="1"/>
    <col min="7944" max="7944" width="11.7109375" style="750" customWidth="1"/>
    <col min="7945" max="7945" width="11.5703125" style="750" customWidth="1"/>
    <col min="7946" max="7947" width="11.85546875" style="750" customWidth="1"/>
    <col min="7948" max="7948" width="14.5703125" style="750" customWidth="1"/>
    <col min="7949" max="8192" width="8" style="750"/>
    <col min="8193" max="8193" width="5.85546875" style="750" customWidth="1"/>
    <col min="8194" max="8194" width="31.140625" style="750" customWidth="1"/>
    <col min="8195" max="8195" width="15" style="750" customWidth="1"/>
    <col min="8196" max="8196" width="12.7109375" style="750" customWidth="1"/>
    <col min="8197" max="8197" width="11.5703125" style="750" customWidth="1"/>
    <col min="8198" max="8198" width="12.28515625" style="750" customWidth="1"/>
    <col min="8199" max="8199" width="11.85546875" style="750" customWidth="1"/>
    <col min="8200" max="8200" width="11.7109375" style="750" customWidth="1"/>
    <col min="8201" max="8201" width="11.5703125" style="750" customWidth="1"/>
    <col min="8202" max="8203" width="11.85546875" style="750" customWidth="1"/>
    <col min="8204" max="8204" width="14.5703125" style="750" customWidth="1"/>
    <col min="8205" max="8448" width="8" style="750"/>
    <col min="8449" max="8449" width="5.85546875" style="750" customWidth="1"/>
    <col min="8450" max="8450" width="31.140625" style="750" customWidth="1"/>
    <col min="8451" max="8451" width="15" style="750" customWidth="1"/>
    <col min="8452" max="8452" width="12.7109375" style="750" customWidth="1"/>
    <col min="8453" max="8453" width="11.5703125" style="750" customWidth="1"/>
    <col min="8454" max="8454" width="12.28515625" style="750" customWidth="1"/>
    <col min="8455" max="8455" width="11.85546875" style="750" customWidth="1"/>
    <col min="8456" max="8456" width="11.7109375" style="750" customWidth="1"/>
    <col min="8457" max="8457" width="11.5703125" style="750" customWidth="1"/>
    <col min="8458" max="8459" width="11.85546875" style="750" customWidth="1"/>
    <col min="8460" max="8460" width="14.5703125" style="750" customWidth="1"/>
    <col min="8461" max="8704" width="8" style="750"/>
    <col min="8705" max="8705" width="5.85546875" style="750" customWidth="1"/>
    <col min="8706" max="8706" width="31.140625" style="750" customWidth="1"/>
    <col min="8707" max="8707" width="15" style="750" customWidth="1"/>
    <col min="8708" max="8708" width="12.7109375" style="750" customWidth="1"/>
    <col min="8709" max="8709" width="11.5703125" style="750" customWidth="1"/>
    <col min="8710" max="8710" width="12.28515625" style="750" customWidth="1"/>
    <col min="8711" max="8711" width="11.85546875" style="750" customWidth="1"/>
    <col min="8712" max="8712" width="11.7109375" style="750" customWidth="1"/>
    <col min="8713" max="8713" width="11.5703125" style="750" customWidth="1"/>
    <col min="8714" max="8715" width="11.85546875" style="750" customWidth="1"/>
    <col min="8716" max="8716" width="14.5703125" style="750" customWidth="1"/>
    <col min="8717" max="8960" width="8" style="750"/>
    <col min="8961" max="8961" width="5.85546875" style="750" customWidth="1"/>
    <col min="8962" max="8962" width="31.140625" style="750" customWidth="1"/>
    <col min="8963" max="8963" width="15" style="750" customWidth="1"/>
    <col min="8964" max="8964" width="12.7109375" style="750" customWidth="1"/>
    <col min="8965" max="8965" width="11.5703125" style="750" customWidth="1"/>
    <col min="8966" max="8966" width="12.28515625" style="750" customWidth="1"/>
    <col min="8967" max="8967" width="11.85546875" style="750" customWidth="1"/>
    <col min="8968" max="8968" width="11.7109375" style="750" customWidth="1"/>
    <col min="8969" max="8969" width="11.5703125" style="750" customWidth="1"/>
    <col min="8970" max="8971" width="11.85546875" style="750" customWidth="1"/>
    <col min="8972" max="8972" width="14.5703125" style="750" customWidth="1"/>
    <col min="8973" max="9216" width="8" style="750"/>
    <col min="9217" max="9217" width="5.85546875" style="750" customWidth="1"/>
    <col min="9218" max="9218" width="31.140625" style="750" customWidth="1"/>
    <col min="9219" max="9219" width="15" style="750" customWidth="1"/>
    <col min="9220" max="9220" width="12.7109375" style="750" customWidth="1"/>
    <col min="9221" max="9221" width="11.5703125" style="750" customWidth="1"/>
    <col min="9222" max="9222" width="12.28515625" style="750" customWidth="1"/>
    <col min="9223" max="9223" width="11.85546875" style="750" customWidth="1"/>
    <col min="9224" max="9224" width="11.7109375" style="750" customWidth="1"/>
    <col min="9225" max="9225" width="11.5703125" style="750" customWidth="1"/>
    <col min="9226" max="9227" width="11.85546875" style="750" customWidth="1"/>
    <col min="9228" max="9228" width="14.5703125" style="750" customWidth="1"/>
    <col min="9229" max="9472" width="8" style="750"/>
    <col min="9473" max="9473" width="5.85546875" style="750" customWidth="1"/>
    <col min="9474" max="9474" width="31.140625" style="750" customWidth="1"/>
    <col min="9475" max="9475" width="15" style="750" customWidth="1"/>
    <col min="9476" max="9476" width="12.7109375" style="750" customWidth="1"/>
    <col min="9477" max="9477" width="11.5703125" style="750" customWidth="1"/>
    <col min="9478" max="9478" width="12.28515625" style="750" customWidth="1"/>
    <col min="9479" max="9479" width="11.85546875" style="750" customWidth="1"/>
    <col min="9480" max="9480" width="11.7109375" style="750" customWidth="1"/>
    <col min="9481" max="9481" width="11.5703125" style="750" customWidth="1"/>
    <col min="9482" max="9483" width="11.85546875" style="750" customWidth="1"/>
    <col min="9484" max="9484" width="14.5703125" style="750" customWidth="1"/>
    <col min="9485" max="9728" width="8" style="750"/>
    <col min="9729" max="9729" width="5.85546875" style="750" customWidth="1"/>
    <col min="9730" max="9730" width="31.140625" style="750" customWidth="1"/>
    <col min="9731" max="9731" width="15" style="750" customWidth="1"/>
    <col min="9732" max="9732" width="12.7109375" style="750" customWidth="1"/>
    <col min="9733" max="9733" width="11.5703125" style="750" customWidth="1"/>
    <col min="9734" max="9734" width="12.28515625" style="750" customWidth="1"/>
    <col min="9735" max="9735" width="11.85546875" style="750" customWidth="1"/>
    <col min="9736" max="9736" width="11.7109375" style="750" customWidth="1"/>
    <col min="9737" max="9737" width="11.5703125" style="750" customWidth="1"/>
    <col min="9738" max="9739" width="11.85546875" style="750" customWidth="1"/>
    <col min="9740" max="9740" width="14.5703125" style="750" customWidth="1"/>
    <col min="9741" max="9984" width="8" style="750"/>
    <col min="9985" max="9985" width="5.85546875" style="750" customWidth="1"/>
    <col min="9986" max="9986" width="31.140625" style="750" customWidth="1"/>
    <col min="9987" max="9987" width="15" style="750" customWidth="1"/>
    <col min="9988" max="9988" width="12.7109375" style="750" customWidth="1"/>
    <col min="9989" max="9989" width="11.5703125" style="750" customWidth="1"/>
    <col min="9990" max="9990" width="12.28515625" style="750" customWidth="1"/>
    <col min="9991" max="9991" width="11.85546875" style="750" customWidth="1"/>
    <col min="9992" max="9992" width="11.7109375" style="750" customWidth="1"/>
    <col min="9993" max="9993" width="11.5703125" style="750" customWidth="1"/>
    <col min="9994" max="9995" width="11.85546875" style="750" customWidth="1"/>
    <col min="9996" max="9996" width="14.5703125" style="750" customWidth="1"/>
    <col min="9997" max="10240" width="8" style="750"/>
    <col min="10241" max="10241" width="5.85546875" style="750" customWidth="1"/>
    <col min="10242" max="10242" width="31.140625" style="750" customWidth="1"/>
    <col min="10243" max="10243" width="15" style="750" customWidth="1"/>
    <col min="10244" max="10244" width="12.7109375" style="750" customWidth="1"/>
    <col min="10245" max="10245" width="11.5703125" style="750" customWidth="1"/>
    <col min="10246" max="10246" width="12.28515625" style="750" customWidth="1"/>
    <col min="10247" max="10247" width="11.85546875" style="750" customWidth="1"/>
    <col min="10248" max="10248" width="11.7109375" style="750" customWidth="1"/>
    <col min="10249" max="10249" width="11.5703125" style="750" customWidth="1"/>
    <col min="10250" max="10251" width="11.85546875" style="750" customWidth="1"/>
    <col min="10252" max="10252" width="14.5703125" style="750" customWidth="1"/>
    <col min="10253" max="10496" width="8" style="750"/>
    <col min="10497" max="10497" width="5.85546875" style="750" customWidth="1"/>
    <col min="10498" max="10498" width="31.140625" style="750" customWidth="1"/>
    <col min="10499" max="10499" width="15" style="750" customWidth="1"/>
    <col min="10500" max="10500" width="12.7109375" style="750" customWidth="1"/>
    <col min="10501" max="10501" width="11.5703125" style="750" customWidth="1"/>
    <col min="10502" max="10502" width="12.28515625" style="750" customWidth="1"/>
    <col min="10503" max="10503" width="11.85546875" style="750" customWidth="1"/>
    <col min="10504" max="10504" width="11.7109375" style="750" customWidth="1"/>
    <col min="10505" max="10505" width="11.5703125" style="750" customWidth="1"/>
    <col min="10506" max="10507" width="11.85546875" style="750" customWidth="1"/>
    <col min="10508" max="10508" width="14.5703125" style="750" customWidth="1"/>
    <col min="10509" max="10752" width="8" style="750"/>
    <col min="10753" max="10753" width="5.85546875" style="750" customWidth="1"/>
    <col min="10754" max="10754" width="31.140625" style="750" customWidth="1"/>
    <col min="10755" max="10755" width="15" style="750" customWidth="1"/>
    <col min="10756" max="10756" width="12.7109375" style="750" customWidth="1"/>
    <col min="10757" max="10757" width="11.5703125" style="750" customWidth="1"/>
    <col min="10758" max="10758" width="12.28515625" style="750" customWidth="1"/>
    <col min="10759" max="10759" width="11.85546875" style="750" customWidth="1"/>
    <col min="10760" max="10760" width="11.7109375" style="750" customWidth="1"/>
    <col min="10761" max="10761" width="11.5703125" style="750" customWidth="1"/>
    <col min="10762" max="10763" width="11.85546875" style="750" customWidth="1"/>
    <col min="10764" max="10764" width="14.5703125" style="750" customWidth="1"/>
    <col min="10765" max="11008" width="8" style="750"/>
    <col min="11009" max="11009" width="5.85546875" style="750" customWidth="1"/>
    <col min="11010" max="11010" width="31.140625" style="750" customWidth="1"/>
    <col min="11011" max="11011" width="15" style="750" customWidth="1"/>
    <col min="11012" max="11012" width="12.7109375" style="750" customWidth="1"/>
    <col min="11013" max="11013" width="11.5703125" style="750" customWidth="1"/>
    <col min="11014" max="11014" width="12.28515625" style="750" customWidth="1"/>
    <col min="11015" max="11015" width="11.85546875" style="750" customWidth="1"/>
    <col min="11016" max="11016" width="11.7109375" style="750" customWidth="1"/>
    <col min="11017" max="11017" width="11.5703125" style="750" customWidth="1"/>
    <col min="11018" max="11019" width="11.85546875" style="750" customWidth="1"/>
    <col min="11020" max="11020" width="14.5703125" style="750" customWidth="1"/>
    <col min="11021" max="11264" width="8" style="750"/>
    <col min="11265" max="11265" width="5.85546875" style="750" customWidth="1"/>
    <col min="11266" max="11266" width="31.140625" style="750" customWidth="1"/>
    <col min="11267" max="11267" width="15" style="750" customWidth="1"/>
    <col min="11268" max="11268" width="12.7109375" style="750" customWidth="1"/>
    <col min="11269" max="11269" width="11.5703125" style="750" customWidth="1"/>
    <col min="11270" max="11270" width="12.28515625" style="750" customWidth="1"/>
    <col min="11271" max="11271" width="11.85546875" style="750" customWidth="1"/>
    <col min="11272" max="11272" width="11.7109375" style="750" customWidth="1"/>
    <col min="11273" max="11273" width="11.5703125" style="750" customWidth="1"/>
    <col min="11274" max="11275" width="11.85546875" style="750" customWidth="1"/>
    <col min="11276" max="11276" width="14.5703125" style="750" customWidth="1"/>
    <col min="11277" max="11520" width="8" style="750"/>
    <col min="11521" max="11521" width="5.85546875" style="750" customWidth="1"/>
    <col min="11522" max="11522" width="31.140625" style="750" customWidth="1"/>
    <col min="11523" max="11523" width="15" style="750" customWidth="1"/>
    <col min="11524" max="11524" width="12.7109375" style="750" customWidth="1"/>
    <col min="11525" max="11525" width="11.5703125" style="750" customWidth="1"/>
    <col min="11526" max="11526" width="12.28515625" style="750" customWidth="1"/>
    <col min="11527" max="11527" width="11.85546875" style="750" customWidth="1"/>
    <col min="11528" max="11528" width="11.7109375" style="750" customWidth="1"/>
    <col min="11529" max="11529" width="11.5703125" style="750" customWidth="1"/>
    <col min="11530" max="11531" width="11.85546875" style="750" customWidth="1"/>
    <col min="11532" max="11532" width="14.5703125" style="750" customWidth="1"/>
    <col min="11533" max="11776" width="8" style="750"/>
    <col min="11777" max="11777" width="5.85546875" style="750" customWidth="1"/>
    <col min="11778" max="11778" width="31.140625" style="750" customWidth="1"/>
    <col min="11779" max="11779" width="15" style="750" customWidth="1"/>
    <col min="11780" max="11780" width="12.7109375" style="750" customWidth="1"/>
    <col min="11781" max="11781" width="11.5703125" style="750" customWidth="1"/>
    <col min="11782" max="11782" width="12.28515625" style="750" customWidth="1"/>
    <col min="11783" max="11783" width="11.85546875" style="750" customWidth="1"/>
    <col min="11784" max="11784" width="11.7109375" style="750" customWidth="1"/>
    <col min="11785" max="11785" width="11.5703125" style="750" customWidth="1"/>
    <col min="11786" max="11787" width="11.85546875" style="750" customWidth="1"/>
    <col min="11788" max="11788" width="14.5703125" style="750" customWidth="1"/>
    <col min="11789" max="12032" width="8" style="750"/>
    <col min="12033" max="12033" width="5.85546875" style="750" customWidth="1"/>
    <col min="12034" max="12034" width="31.140625" style="750" customWidth="1"/>
    <col min="12035" max="12035" width="15" style="750" customWidth="1"/>
    <col min="12036" max="12036" width="12.7109375" style="750" customWidth="1"/>
    <col min="12037" max="12037" width="11.5703125" style="750" customWidth="1"/>
    <col min="12038" max="12038" width="12.28515625" style="750" customWidth="1"/>
    <col min="12039" max="12039" width="11.85546875" style="750" customWidth="1"/>
    <col min="12040" max="12040" width="11.7109375" style="750" customWidth="1"/>
    <col min="12041" max="12041" width="11.5703125" style="750" customWidth="1"/>
    <col min="12042" max="12043" width="11.85546875" style="750" customWidth="1"/>
    <col min="12044" max="12044" width="14.5703125" style="750" customWidth="1"/>
    <col min="12045" max="12288" width="8" style="750"/>
    <col min="12289" max="12289" width="5.85546875" style="750" customWidth="1"/>
    <col min="12290" max="12290" width="31.140625" style="750" customWidth="1"/>
    <col min="12291" max="12291" width="15" style="750" customWidth="1"/>
    <col min="12292" max="12292" width="12.7109375" style="750" customWidth="1"/>
    <col min="12293" max="12293" width="11.5703125" style="750" customWidth="1"/>
    <col min="12294" max="12294" width="12.28515625" style="750" customWidth="1"/>
    <col min="12295" max="12295" width="11.85546875" style="750" customWidth="1"/>
    <col min="12296" max="12296" width="11.7109375" style="750" customWidth="1"/>
    <col min="12297" max="12297" width="11.5703125" style="750" customWidth="1"/>
    <col min="12298" max="12299" width="11.85546875" style="750" customWidth="1"/>
    <col min="12300" max="12300" width="14.5703125" style="750" customWidth="1"/>
    <col min="12301" max="12544" width="8" style="750"/>
    <col min="12545" max="12545" width="5.85546875" style="750" customWidth="1"/>
    <col min="12546" max="12546" width="31.140625" style="750" customWidth="1"/>
    <col min="12547" max="12547" width="15" style="750" customWidth="1"/>
    <col min="12548" max="12548" width="12.7109375" style="750" customWidth="1"/>
    <col min="12549" max="12549" width="11.5703125" style="750" customWidth="1"/>
    <col min="12550" max="12550" width="12.28515625" style="750" customWidth="1"/>
    <col min="12551" max="12551" width="11.85546875" style="750" customWidth="1"/>
    <col min="12552" max="12552" width="11.7109375" style="750" customWidth="1"/>
    <col min="12553" max="12553" width="11.5703125" style="750" customWidth="1"/>
    <col min="12554" max="12555" width="11.85546875" style="750" customWidth="1"/>
    <col min="12556" max="12556" width="14.5703125" style="750" customWidth="1"/>
    <col min="12557" max="12800" width="8" style="750"/>
    <col min="12801" max="12801" width="5.85546875" style="750" customWidth="1"/>
    <col min="12802" max="12802" width="31.140625" style="750" customWidth="1"/>
    <col min="12803" max="12803" width="15" style="750" customWidth="1"/>
    <col min="12804" max="12804" width="12.7109375" style="750" customWidth="1"/>
    <col min="12805" max="12805" width="11.5703125" style="750" customWidth="1"/>
    <col min="12806" max="12806" width="12.28515625" style="750" customWidth="1"/>
    <col min="12807" max="12807" width="11.85546875" style="750" customWidth="1"/>
    <col min="12808" max="12808" width="11.7109375" style="750" customWidth="1"/>
    <col min="12809" max="12809" width="11.5703125" style="750" customWidth="1"/>
    <col min="12810" max="12811" width="11.85546875" style="750" customWidth="1"/>
    <col min="12812" max="12812" width="14.5703125" style="750" customWidth="1"/>
    <col min="12813" max="13056" width="8" style="750"/>
    <col min="13057" max="13057" width="5.85546875" style="750" customWidth="1"/>
    <col min="13058" max="13058" width="31.140625" style="750" customWidth="1"/>
    <col min="13059" max="13059" width="15" style="750" customWidth="1"/>
    <col min="13060" max="13060" width="12.7109375" style="750" customWidth="1"/>
    <col min="13061" max="13061" width="11.5703125" style="750" customWidth="1"/>
    <col min="13062" max="13062" width="12.28515625" style="750" customWidth="1"/>
    <col min="13063" max="13063" width="11.85546875" style="750" customWidth="1"/>
    <col min="13064" max="13064" width="11.7109375" style="750" customWidth="1"/>
    <col min="13065" max="13065" width="11.5703125" style="750" customWidth="1"/>
    <col min="13066" max="13067" width="11.85546875" style="750" customWidth="1"/>
    <col min="13068" max="13068" width="14.5703125" style="750" customWidth="1"/>
    <col min="13069" max="13312" width="8" style="750"/>
    <col min="13313" max="13313" width="5.85546875" style="750" customWidth="1"/>
    <col min="13314" max="13314" width="31.140625" style="750" customWidth="1"/>
    <col min="13315" max="13315" width="15" style="750" customWidth="1"/>
    <col min="13316" max="13316" width="12.7109375" style="750" customWidth="1"/>
    <col min="13317" max="13317" width="11.5703125" style="750" customWidth="1"/>
    <col min="13318" max="13318" width="12.28515625" style="750" customWidth="1"/>
    <col min="13319" max="13319" width="11.85546875" style="750" customWidth="1"/>
    <col min="13320" max="13320" width="11.7109375" style="750" customWidth="1"/>
    <col min="13321" max="13321" width="11.5703125" style="750" customWidth="1"/>
    <col min="13322" max="13323" width="11.85546875" style="750" customWidth="1"/>
    <col min="13324" max="13324" width="14.5703125" style="750" customWidth="1"/>
    <col min="13325" max="13568" width="8" style="750"/>
    <col min="13569" max="13569" width="5.85546875" style="750" customWidth="1"/>
    <col min="13570" max="13570" width="31.140625" style="750" customWidth="1"/>
    <col min="13571" max="13571" width="15" style="750" customWidth="1"/>
    <col min="13572" max="13572" width="12.7109375" style="750" customWidth="1"/>
    <col min="13573" max="13573" width="11.5703125" style="750" customWidth="1"/>
    <col min="13574" max="13574" width="12.28515625" style="750" customWidth="1"/>
    <col min="13575" max="13575" width="11.85546875" style="750" customWidth="1"/>
    <col min="13576" max="13576" width="11.7109375" style="750" customWidth="1"/>
    <col min="13577" max="13577" width="11.5703125" style="750" customWidth="1"/>
    <col min="13578" max="13579" width="11.85546875" style="750" customWidth="1"/>
    <col min="13580" max="13580" width="14.5703125" style="750" customWidth="1"/>
    <col min="13581" max="13824" width="8" style="750"/>
    <col min="13825" max="13825" width="5.85546875" style="750" customWidth="1"/>
    <col min="13826" max="13826" width="31.140625" style="750" customWidth="1"/>
    <col min="13827" max="13827" width="15" style="750" customWidth="1"/>
    <col min="13828" max="13828" width="12.7109375" style="750" customWidth="1"/>
    <col min="13829" max="13829" width="11.5703125" style="750" customWidth="1"/>
    <col min="13830" max="13830" width="12.28515625" style="750" customWidth="1"/>
    <col min="13831" max="13831" width="11.85546875" style="750" customWidth="1"/>
    <col min="13832" max="13832" width="11.7109375" style="750" customWidth="1"/>
    <col min="13833" max="13833" width="11.5703125" style="750" customWidth="1"/>
    <col min="13834" max="13835" width="11.85546875" style="750" customWidth="1"/>
    <col min="13836" max="13836" width="14.5703125" style="750" customWidth="1"/>
    <col min="13837" max="14080" width="8" style="750"/>
    <col min="14081" max="14081" width="5.85546875" style="750" customWidth="1"/>
    <col min="14082" max="14082" width="31.140625" style="750" customWidth="1"/>
    <col min="14083" max="14083" width="15" style="750" customWidth="1"/>
    <col min="14084" max="14084" width="12.7109375" style="750" customWidth="1"/>
    <col min="14085" max="14085" width="11.5703125" style="750" customWidth="1"/>
    <col min="14086" max="14086" width="12.28515625" style="750" customWidth="1"/>
    <col min="14087" max="14087" width="11.85546875" style="750" customWidth="1"/>
    <col min="14088" max="14088" width="11.7109375" style="750" customWidth="1"/>
    <col min="14089" max="14089" width="11.5703125" style="750" customWidth="1"/>
    <col min="14090" max="14091" width="11.85546875" style="750" customWidth="1"/>
    <col min="14092" max="14092" width="14.5703125" style="750" customWidth="1"/>
    <col min="14093" max="14336" width="8" style="750"/>
    <col min="14337" max="14337" width="5.85546875" style="750" customWidth="1"/>
    <col min="14338" max="14338" width="31.140625" style="750" customWidth="1"/>
    <col min="14339" max="14339" width="15" style="750" customWidth="1"/>
    <col min="14340" max="14340" width="12.7109375" style="750" customWidth="1"/>
    <col min="14341" max="14341" width="11.5703125" style="750" customWidth="1"/>
    <col min="14342" max="14342" width="12.28515625" style="750" customWidth="1"/>
    <col min="14343" max="14343" width="11.85546875" style="750" customWidth="1"/>
    <col min="14344" max="14344" width="11.7109375" style="750" customWidth="1"/>
    <col min="14345" max="14345" width="11.5703125" style="750" customWidth="1"/>
    <col min="14346" max="14347" width="11.85546875" style="750" customWidth="1"/>
    <col min="14348" max="14348" width="14.5703125" style="750" customWidth="1"/>
    <col min="14349" max="14592" width="8" style="750"/>
    <col min="14593" max="14593" width="5.85546875" style="750" customWidth="1"/>
    <col min="14594" max="14594" width="31.140625" style="750" customWidth="1"/>
    <col min="14595" max="14595" width="15" style="750" customWidth="1"/>
    <col min="14596" max="14596" width="12.7109375" style="750" customWidth="1"/>
    <col min="14597" max="14597" width="11.5703125" style="750" customWidth="1"/>
    <col min="14598" max="14598" width="12.28515625" style="750" customWidth="1"/>
    <col min="14599" max="14599" width="11.85546875" style="750" customWidth="1"/>
    <col min="14600" max="14600" width="11.7109375" style="750" customWidth="1"/>
    <col min="14601" max="14601" width="11.5703125" style="750" customWidth="1"/>
    <col min="14602" max="14603" width="11.85546875" style="750" customWidth="1"/>
    <col min="14604" max="14604" width="14.5703125" style="750" customWidth="1"/>
    <col min="14605" max="14848" width="8" style="750"/>
    <col min="14849" max="14849" width="5.85546875" style="750" customWidth="1"/>
    <col min="14850" max="14850" width="31.140625" style="750" customWidth="1"/>
    <col min="14851" max="14851" width="15" style="750" customWidth="1"/>
    <col min="14852" max="14852" width="12.7109375" style="750" customWidth="1"/>
    <col min="14853" max="14853" width="11.5703125" style="750" customWidth="1"/>
    <col min="14854" max="14854" width="12.28515625" style="750" customWidth="1"/>
    <col min="14855" max="14855" width="11.85546875" style="750" customWidth="1"/>
    <col min="14856" max="14856" width="11.7109375" style="750" customWidth="1"/>
    <col min="14857" max="14857" width="11.5703125" style="750" customWidth="1"/>
    <col min="14858" max="14859" width="11.85546875" style="750" customWidth="1"/>
    <col min="14860" max="14860" width="14.5703125" style="750" customWidth="1"/>
    <col min="14861" max="15104" width="8" style="750"/>
    <col min="15105" max="15105" width="5.85546875" style="750" customWidth="1"/>
    <col min="15106" max="15106" width="31.140625" style="750" customWidth="1"/>
    <col min="15107" max="15107" width="15" style="750" customWidth="1"/>
    <col min="15108" max="15108" width="12.7109375" style="750" customWidth="1"/>
    <col min="15109" max="15109" width="11.5703125" style="750" customWidth="1"/>
    <col min="15110" max="15110" width="12.28515625" style="750" customWidth="1"/>
    <col min="15111" max="15111" width="11.85546875" style="750" customWidth="1"/>
    <col min="15112" max="15112" width="11.7109375" style="750" customWidth="1"/>
    <col min="15113" max="15113" width="11.5703125" style="750" customWidth="1"/>
    <col min="15114" max="15115" width="11.85546875" style="750" customWidth="1"/>
    <col min="15116" max="15116" width="14.5703125" style="750" customWidth="1"/>
    <col min="15117" max="15360" width="8" style="750"/>
    <col min="15361" max="15361" width="5.85546875" style="750" customWidth="1"/>
    <col min="15362" max="15362" width="31.140625" style="750" customWidth="1"/>
    <col min="15363" max="15363" width="15" style="750" customWidth="1"/>
    <col min="15364" max="15364" width="12.7109375" style="750" customWidth="1"/>
    <col min="15365" max="15365" width="11.5703125" style="750" customWidth="1"/>
    <col min="15366" max="15366" width="12.28515625" style="750" customWidth="1"/>
    <col min="15367" max="15367" width="11.85546875" style="750" customWidth="1"/>
    <col min="15368" max="15368" width="11.7109375" style="750" customWidth="1"/>
    <col min="15369" max="15369" width="11.5703125" style="750" customWidth="1"/>
    <col min="15370" max="15371" width="11.85546875" style="750" customWidth="1"/>
    <col min="15372" max="15372" width="14.5703125" style="750" customWidth="1"/>
    <col min="15373" max="15616" width="8" style="750"/>
    <col min="15617" max="15617" width="5.85546875" style="750" customWidth="1"/>
    <col min="15618" max="15618" width="31.140625" style="750" customWidth="1"/>
    <col min="15619" max="15619" width="15" style="750" customWidth="1"/>
    <col min="15620" max="15620" width="12.7109375" style="750" customWidth="1"/>
    <col min="15621" max="15621" width="11.5703125" style="750" customWidth="1"/>
    <col min="15622" max="15622" width="12.28515625" style="750" customWidth="1"/>
    <col min="15623" max="15623" width="11.85546875" style="750" customWidth="1"/>
    <col min="15624" max="15624" width="11.7109375" style="750" customWidth="1"/>
    <col min="15625" max="15625" width="11.5703125" style="750" customWidth="1"/>
    <col min="15626" max="15627" width="11.85546875" style="750" customWidth="1"/>
    <col min="15628" max="15628" width="14.5703125" style="750" customWidth="1"/>
    <col min="15629" max="15872" width="8" style="750"/>
    <col min="15873" max="15873" width="5.85546875" style="750" customWidth="1"/>
    <col min="15874" max="15874" width="31.140625" style="750" customWidth="1"/>
    <col min="15875" max="15875" width="15" style="750" customWidth="1"/>
    <col min="15876" max="15876" width="12.7109375" style="750" customWidth="1"/>
    <col min="15877" max="15877" width="11.5703125" style="750" customWidth="1"/>
    <col min="15878" max="15878" width="12.28515625" style="750" customWidth="1"/>
    <col min="15879" max="15879" width="11.85546875" style="750" customWidth="1"/>
    <col min="15880" max="15880" width="11.7109375" style="750" customWidth="1"/>
    <col min="15881" max="15881" width="11.5703125" style="750" customWidth="1"/>
    <col min="15882" max="15883" width="11.85546875" style="750" customWidth="1"/>
    <col min="15884" max="15884" width="14.5703125" style="750" customWidth="1"/>
    <col min="15885" max="16128" width="8" style="750"/>
    <col min="16129" max="16129" width="5.85546875" style="750" customWidth="1"/>
    <col min="16130" max="16130" width="31.140625" style="750" customWidth="1"/>
    <col min="16131" max="16131" width="15" style="750" customWidth="1"/>
    <col min="16132" max="16132" width="12.7109375" style="750" customWidth="1"/>
    <col min="16133" max="16133" width="11.5703125" style="750" customWidth="1"/>
    <col min="16134" max="16134" width="12.28515625" style="750" customWidth="1"/>
    <col min="16135" max="16135" width="11.85546875" style="750" customWidth="1"/>
    <col min="16136" max="16136" width="11.7109375" style="750" customWidth="1"/>
    <col min="16137" max="16137" width="11.5703125" style="750" customWidth="1"/>
    <col min="16138" max="16139" width="11.85546875" style="750" customWidth="1"/>
    <col min="16140" max="16140" width="14.5703125" style="750" customWidth="1"/>
    <col min="16141" max="16384" width="8" style="750"/>
  </cols>
  <sheetData>
    <row r="1" spans="1:12" ht="21.75" customHeight="1">
      <c r="B1" s="751"/>
      <c r="L1" s="752" t="s">
        <v>1119</v>
      </c>
    </row>
    <row r="2" spans="1:12" s="753" customFormat="1" ht="42" customHeight="1">
      <c r="A2" s="1142" t="s">
        <v>1120</v>
      </c>
      <c r="B2" s="1142"/>
      <c r="C2" s="1142"/>
      <c r="D2" s="1142"/>
      <c r="E2" s="1142"/>
      <c r="F2" s="1142"/>
      <c r="G2" s="1142"/>
      <c r="H2" s="1142"/>
      <c r="I2" s="1142"/>
      <c r="J2" s="1142"/>
      <c r="K2" s="1142"/>
      <c r="L2" s="1142"/>
    </row>
    <row r="3" spans="1:12" s="753" customFormat="1" ht="18" customHeight="1">
      <c r="A3" s="1143" t="s">
        <v>460</v>
      </c>
      <c r="B3" s="1143"/>
      <c r="C3" s="1143"/>
      <c r="D3" s="1143"/>
      <c r="E3" s="1143"/>
      <c r="F3" s="1143"/>
      <c r="G3" s="1143"/>
      <c r="H3" s="1143"/>
      <c r="I3" s="1143"/>
      <c r="J3" s="1143"/>
      <c r="K3" s="1143"/>
      <c r="L3" s="1143"/>
    </row>
    <row r="4" spans="1:12">
      <c r="J4" s="754"/>
      <c r="L4" s="755" t="s">
        <v>2</v>
      </c>
    </row>
    <row r="5" spans="1:12" s="756" customFormat="1" ht="31.5" customHeight="1">
      <c r="A5" s="1144" t="s">
        <v>3</v>
      </c>
      <c r="B5" s="1145" t="s">
        <v>1121</v>
      </c>
      <c r="C5" s="1146" t="s">
        <v>1122</v>
      </c>
      <c r="D5" s="1144" t="s">
        <v>1078</v>
      </c>
      <c r="E5" s="1144"/>
      <c r="F5" s="1144"/>
      <c r="G5" s="1144"/>
      <c r="H5" s="1144" t="s">
        <v>6</v>
      </c>
      <c r="I5" s="1144"/>
      <c r="J5" s="1144"/>
      <c r="K5" s="1144"/>
      <c r="L5" s="1144" t="s">
        <v>1123</v>
      </c>
    </row>
    <row r="6" spans="1:12" s="756" customFormat="1" ht="61.5" customHeight="1">
      <c r="A6" s="1144"/>
      <c r="B6" s="1145"/>
      <c r="C6" s="1146"/>
      <c r="D6" s="1146" t="s">
        <v>1124</v>
      </c>
      <c r="E6" s="1146"/>
      <c r="F6" s="1146" t="s">
        <v>1125</v>
      </c>
      <c r="G6" s="1146" t="s">
        <v>1126</v>
      </c>
      <c r="H6" s="1146" t="s">
        <v>1124</v>
      </c>
      <c r="I6" s="1146"/>
      <c r="J6" s="1146" t="s">
        <v>1125</v>
      </c>
      <c r="K6" s="1146" t="s">
        <v>1126</v>
      </c>
      <c r="L6" s="1144"/>
    </row>
    <row r="7" spans="1:12" s="756" customFormat="1" ht="57" customHeight="1">
      <c r="A7" s="1144"/>
      <c r="B7" s="1145"/>
      <c r="C7" s="1146"/>
      <c r="D7" s="1146" t="s">
        <v>89</v>
      </c>
      <c r="E7" s="1146" t="s">
        <v>1127</v>
      </c>
      <c r="F7" s="1146"/>
      <c r="G7" s="1146"/>
      <c r="H7" s="1146" t="s">
        <v>89</v>
      </c>
      <c r="I7" s="1146" t="s">
        <v>1127</v>
      </c>
      <c r="J7" s="1146"/>
      <c r="K7" s="1146"/>
      <c r="L7" s="1144"/>
    </row>
    <row r="8" spans="1:12" s="757" customFormat="1" ht="48" customHeight="1">
      <c r="A8" s="1144"/>
      <c r="B8" s="1145"/>
      <c r="C8" s="1146"/>
      <c r="D8" s="1146"/>
      <c r="E8" s="1146"/>
      <c r="F8" s="1146"/>
      <c r="G8" s="1146"/>
      <c r="H8" s="1146"/>
      <c r="I8" s="1146"/>
      <c r="J8" s="1146"/>
      <c r="K8" s="1146"/>
      <c r="L8" s="1144"/>
    </row>
    <row r="9" spans="1:12" s="762" customFormat="1" ht="15.75" customHeight="1">
      <c r="A9" s="758" t="s">
        <v>10</v>
      </c>
      <c r="B9" s="758" t="s">
        <v>11</v>
      </c>
      <c r="C9" s="759">
        <v>1</v>
      </c>
      <c r="D9" s="759">
        <f>C9+1</f>
        <v>2</v>
      </c>
      <c r="E9" s="759">
        <f>D9+1</f>
        <v>3</v>
      </c>
      <c r="F9" s="759">
        <f>E9+1</f>
        <v>4</v>
      </c>
      <c r="G9" s="760" t="s">
        <v>1128</v>
      </c>
      <c r="H9" s="759">
        <v>6</v>
      </c>
      <c r="I9" s="759">
        <f>H9+1</f>
        <v>7</v>
      </c>
      <c r="J9" s="759">
        <f>I9+1</f>
        <v>8</v>
      </c>
      <c r="K9" s="759" t="s">
        <v>1129</v>
      </c>
      <c r="L9" s="761" t="s">
        <v>1130</v>
      </c>
    </row>
    <row r="10" spans="1:12" s="765" customFormat="1" ht="30" customHeight="1">
      <c r="A10" s="763"/>
      <c r="B10" s="763" t="s">
        <v>1131</v>
      </c>
      <c r="C10" s="764">
        <f>SUM(C11:C27)</f>
        <v>693556.74456200015</v>
      </c>
      <c r="D10" s="764">
        <f t="shared" ref="D10:L10" si="0">SUM(D11:D27)</f>
        <v>400995</v>
      </c>
      <c r="E10" s="764">
        <f t="shared" si="0"/>
        <v>6000</v>
      </c>
      <c r="F10" s="764">
        <f t="shared" si="0"/>
        <v>504385</v>
      </c>
      <c r="G10" s="764">
        <f t="shared" si="0"/>
        <v>590166.74456200015</v>
      </c>
      <c r="H10" s="764">
        <f t="shared" si="0"/>
        <v>632113.31811200012</v>
      </c>
      <c r="I10" s="764">
        <f t="shared" si="0"/>
        <v>4000</v>
      </c>
      <c r="J10" s="764">
        <f t="shared" si="0"/>
        <v>788620.92543199996</v>
      </c>
      <c r="K10" s="764">
        <f t="shared" si="0"/>
        <v>-156507.60732000004</v>
      </c>
      <c r="L10" s="764">
        <f t="shared" si="0"/>
        <v>537049.13724199997</v>
      </c>
    </row>
    <row r="11" spans="1:12" s="771" customFormat="1" ht="15.75">
      <c r="A11" s="766">
        <v>1</v>
      </c>
      <c r="B11" s="767" t="s">
        <v>1132</v>
      </c>
      <c r="C11" s="768">
        <v>147274.22</v>
      </c>
      <c r="D11" s="769">
        <v>19210</v>
      </c>
      <c r="E11" s="770"/>
      <c r="F11" s="770">
        <v>27750</v>
      </c>
      <c r="G11" s="770">
        <f>C11+D11-F11</f>
        <v>138734.22</v>
      </c>
      <c r="H11" s="770">
        <v>208436</v>
      </c>
      <c r="I11" s="770"/>
      <c r="J11" s="770">
        <v>165896</v>
      </c>
      <c r="K11" s="770">
        <f>H11-J11</f>
        <v>42540</v>
      </c>
      <c r="L11" s="770">
        <f>C11+H11-J11</f>
        <v>189814.21999999997</v>
      </c>
    </row>
    <row r="12" spans="1:12" s="771" customFormat="1" ht="15.75">
      <c r="A12" s="766">
        <v>2</v>
      </c>
      <c r="B12" s="767" t="s">
        <v>1133</v>
      </c>
      <c r="C12" s="768">
        <v>50392</v>
      </c>
      <c r="D12" s="770">
        <v>5425</v>
      </c>
      <c r="E12" s="770">
        <v>2000</v>
      </c>
      <c r="F12" s="770">
        <v>7500</v>
      </c>
      <c r="G12" s="770">
        <f t="shared" ref="G12:G27" si="1">C12+D12-F12</f>
        <v>48317</v>
      </c>
      <c r="H12" s="770">
        <v>13500</v>
      </c>
      <c r="I12" s="770">
        <v>4000</v>
      </c>
      <c r="J12" s="770">
        <v>6804</v>
      </c>
      <c r="K12" s="770">
        <f t="shared" ref="K12:K27" si="2">H12-J12</f>
        <v>6696</v>
      </c>
      <c r="L12" s="770">
        <f t="shared" ref="L12:L27" si="3">C12+H12-J12</f>
        <v>57088</v>
      </c>
    </row>
    <row r="13" spans="1:12" s="771" customFormat="1" ht="15.75">
      <c r="A13" s="766">
        <v>3</v>
      </c>
      <c r="B13" s="772" t="s">
        <v>1134</v>
      </c>
      <c r="C13" s="768">
        <v>465781.51465999999</v>
      </c>
      <c r="D13" s="770">
        <v>361500</v>
      </c>
      <c r="E13" s="770"/>
      <c r="F13" s="770">
        <v>455084</v>
      </c>
      <c r="G13" s="770">
        <f t="shared" si="1"/>
        <v>372197.51465999999</v>
      </c>
      <c r="H13" s="770">
        <v>390651.39090399997</v>
      </c>
      <c r="I13" s="770"/>
      <c r="J13" s="770">
        <v>591056.72081099998</v>
      </c>
      <c r="K13" s="770">
        <f t="shared" si="2"/>
        <v>-200405.32990700001</v>
      </c>
      <c r="L13" s="770">
        <f t="shared" si="3"/>
        <v>265376.18475299992</v>
      </c>
    </row>
    <row r="14" spans="1:12" s="771" customFormat="1" ht="15.75">
      <c r="A14" s="766">
        <v>4</v>
      </c>
      <c r="B14" s="767" t="s">
        <v>1135</v>
      </c>
      <c r="C14" s="768">
        <v>361.71279299999998</v>
      </c>
      <c r="D14" s="770">
        <v>1000</v>
      </c>
      <c r="E14" s="770"/>
      <c r="F14" s="770">
        <v>1000</v>
      </c>
      <c r="G14" s="770">
        <f t="shared" si="1"/>
        <v>361.71279299999992</v>
      </c>
      <c r="H14" s="770">
        <v>5660.55</v>
      </c>
      <c r="I14" s="770"/>
      <c r="J14" s="770">
        <v>6022.2627929999999</v>
      </c>
      <c r="K14" s="770">
        <f t="shared" si="2"/>
        <v>-361.71279299999969</v>
      </c>
      <c r="L14" s="770">
        <f t="shared" si="3"/>
        <v>0</v>
      </c>
    </row>
    <row r="15" spans="1:12" s="771" customFormat="1" ht="15.75">
      <c r="A15" s="766">
        <v>5</v>
      </c>
      <c r="B15" s="767" t="s">
        <v>1136</v>
      </c>
      <c r="C15" s="768">
        <v>5525.6823629999999</v>
      </c>
      <c r="D15" s="770">
        <v>200</v>
      </c>
      <c r="E15" s="770"/>
      <c r="F15" s="770">
        <v>200</v>
      </c>
      <c r="G15" s="770">
        <f t="shared" si="1"/>
        <v>5525.6823629999999</v>
      </c>
      <c r="H15" s="770">
        <v>8831.2624649999998</v>
      </c>
      <c r="I15" s="770"/>
      <c r="J15" s="770">
        <v>14356.944828</v>
      </c>
      <c r="K15" s="770">
        <f t="shared" si="2"/>
        <v>-5525.6823629999999</v>
      </c>
      <c r="L15" s="770">
        <f t="shared" si="3"/>
        <v>0</v>
      </c>
    </row>
    <row r="16" spans="1:12" s="771" customFormat="1" ht="31.5">
      <c r="A16" s="766">
        <v>6</v>
      </c>
      <c r="B16" s="772" t="s">
        <v>1137</v>
      </c>
      <c r="C16" s="773">
        <v>586.29999999999995</v>
      </c>
      <c r="D16" s="770">
        <v>410</v>
      </c>
      <c r="E16" s="770"/>
      <c r="F16" s="770">
        <v>490</v>
      </c>
      <c r="G16" s="770">
        <f t="shared" si="1"/>
        <v>506.29999999999995</v>
      </c>
      <c r="H16" s="770">
        <v>344.8</v>
      </c>
      <c r="I16" s="770"/>
      <c r="J16" s="770">
        <v>401.90000000000003</v>
      </c>
      <c r="K16" s="770">
        <f t="shared" si="2"/>
        <v>-57.100000000000023</v>
      </c>
      <c r="L16" s="770">
        <f t="shared" si="3"/>
        <v>529.19999999999982</v>
      </c>
    </row>
    <row r="17" spans="1:12" s="771" customFormat="1" ht="31.5">
      <c r="A17" s="766">
        <v>7</v>
      </c>
      <c r="B17" s="772" t="s">
        <v>1138</v>
      </c>
      <c r="C17" s="773">
        <v>144</v>
      </c>
      <c r="D17" s="770">
        <v>400</v>
      </c>
      <c r="E17" s="770"/>
      <c r="F17" s="770">
        <v>400</v>
      </c>
      <c r="G17" s="770">
        <f t="shared" si="1"/>
        <v>144</v>
      </c>
      <c r="H17" s="770">
        <v>310</v>
      </c>
      <c r="I17" s="770"/>
      <c r="J17" s="770">
        <v>300</v>
      </c>
      <c r="K17" s="770">
        <f t="shared" si="2"/>
        <v>10</v>
      </c>
      <c r="L17" s="770">
        <f t="shared" si="3"/>
        <v>154</v>
      </c>
    </row>
    <row r="18" spans="1:12" s="771" customFormat="1" ht="31.5">
      <c r="A18" s="766">
        <v>8</v>
      </c>
      <c r="B18" s="772" t="s">
        <v>1139</v>
      </c>
      <c r="C18" s="773">
        <v>0</v>
      </c>
      <c r="D18" s="770"/>
      <c r="E18" s="770"/>
      <c r="F18" s="770"/>
      <c r="G18" s="770">
        <f t="shared" si="1"/>
        <v>0</v>
      </c>
      <c r="H18" s="770">
        <v>0</v>
      </c>
      <c r="I18" s="770"/>
      <c r="J18" s="770">
        <v>0</v>
      </c>
      <c r="K18" s="770">
        <f t="shared" si="2"/>
        <v>0</v>
      </c>
      <c r="L18" s="770">
        <f t="shared" si="3"/>
        <v>0</v>
      </c>
    </row>
    <row r="19" spans="1:12" s="771" customFormat="1" ht="15.75">
      <c r="A19" s="766">
        <v>9</v>
      </c>
      <c r="B19" s="767" t="s">
        <v>1140</v>
      </c>
      <c r="C19" s="768">
        <v>708</v>
      </c>
      <c r="D19" s="770">
        <v>520</v>
      </c>
      <c r="E19" s="770"/>
      <c r="F19" s="770">
        <v>700</v>
      </c>
      <c r="G19" s="770">
        <f t="shared" si="1"/>
        <v>528</v>
      </c>
      <c r="H19" s="770">
        <v>10</v>
      </c>
      <c r="I19" s="770"/>
      <c r="J19" s="770">
        <v>68.099999999999994</v>
      </c>
      <c r="K19" s="770">
        <f t="shared" si="2"/>
        <v>-58.099999999999994</v>
      </c>
      <c r="L19" s="770">
        <f t="shared" si="3"/>
        <v>649.9</v>
      </c>
    </row>
    <row r="20" spans="1:12" s="771" customFormat="1" ht="15.75">
      <c r="A20" s="766">
        <v>10</v>
      </c>
      <c r="B20" s="772" t="s">
        <v>1141</v>
      </c>
      <c r="C20" s="773">
        <v>3799.5438690000001</v>
      </c>
      <c r="D20" s="770">
        <v>2023</v>
      </c>
      <c r="E20" s="770"/>
      <c r="F20" s="770">
        <v>0</v>
      </c>
      <c r="G20" s="770">
        <f t="shared" si="1"/>
        <v>5822.5438690000001</v>
      </c>
      <c r="H20" s="770">
        <v>1613.2990129999998</v>
      </c>
      <c r="I20" s="770"/>
      <c r="J20" s="770">
        <v>1050</v>
      </c>
      <c r="K20" s="770">
        <f t="shared" si="2"/>
        <v>563.29901299999983</v>
      </c>
      <c r="L20" s="770">
        <f t="shared" si="3"/>
        <v>4362.8428819999999</v>
      </c>
    </row>
    <row r="21" spans="1:12" s="771" customFormat="1" ht="15.75">
      <c r="A21" s="766">
        <v>11</v>
      </c>
      <c r="B21" s="767" t="s">
        <v>1142</v>
      </c>
      <c r="C21" s="768">
        <v>209</v>
      </c>
      <c r="D21" s="770">
        <v>100</v>
      </c>
      <c r="E21" s="770"/>
      <c r="F21" s="770">
        <v>70</v>
      </c>
      <c r="G21" s="770">
        <f t="shared" si="1"/>
        <v>239</v>
      </c>
      <c r="H21" s="770">
        <v>61</v>
      </c>
      <c r="I21" s="770"/>
      <c r="J21" s="770">
        <v>8.5</v>
      </c>
      <c r="K21" s="770">
        <f t="shared" si="2"/>
        <v>52.5</v>
      </c>
      <c r="L21" s="770">
        <f t="shared" si="3"/>
        <v>261.5</v>
      </c>
    </row>
    <row r="22" spans="1:12" s="771" customFormat="1" ht="15.75">
      <c r="A22" s="766">
        <v>12</v>
      </c>
      <c r="B22" s="772" t="s">
        <v>1143</v>
      </c>
      <c r="C22" s="768">
        <v>8.0050000000000008</v>
      </c>
      <c r="D22" s="770">
        <v>0</v>
      </c>
      <c r="E22" s="770"/>
      <c r="F22" s="770">
        <v>0</v>
      </c>
      <c r="G22" s="770">
        <f t="shared" si="1"/>
        <v>8.0050000000000008</v>
      </c>
      <c r="H22" s="770">
        <v>355.01573000000002</v>
      </c>
      <c r="I22" s="770"/>
      <c r="J22" s="770">
        <v>355.29700000000003</v>
      </c>
      <c r="K22" s="770">
        <f t="shared" si="2"/>
        <v>-0.28127000000000635</v>
      </c>
      <c r="L22" s="770">
        <f t="shared" si="3"/>
        <v>7.7237299999999891</v>
      </c>
    </row>
    <row r="23" spans="1:12" s="771" customFormat="1" ht="15.75">
      <c r="A23" s="766">
        <v>13</v>
      </c>
      <c r="B23" s="772" t="s">
        <v>1144</v>
      </c>
      <c r="C23" s="773">
        <v>156</v>
      </c>
      <c r="D23" s="770">
        <v>0</v>
      </c>
      <c r="E23" s="770"/>
      <c r="F23" s="770">
        <v>0</v>
      </c>
      <c r="G23" s="770">
        <f t="shared" si="1"/>
        <v>156</v>
      </c>
      <c r="H23" s="770">
        <v>0</v>
      </c>
      <c r="I23" s="770"/>
      <c r="J23" s="770">
        <v>0</v>
      </c>
      <c r="K23" s="770">
        <f t="shared" si="2"/>
        <v>0</v>
      </c>
      <c r="L23" s="770">
        <f t="shared" si="3"/>
        <v>156</v>
      </c>
    </row>
    <row r="24" spans="1:12" s="771" customFormat="1" ht="15.75">
      <c r="A24" s="766">
        <v>14</v>
      </c>
      <c r="B24" s="767" t="s">
        <v>1145</v>
      </c>
      <c r="C24" s="773">
        <v>1489.765877</v>
      </c>
      <c r="D24" s="770">
        <v>57</v>
      </c>
      <c r="E24" s="770"/>
      <c r="F24" s="770">
        <v>1</v>
      </c>
      <c r="G24" s="770">
        <f t="shared" si="1"/>
        <v>1545.765877</v>
      </c>
      <c r="H24" s="770">
        <v>10</v>
      </c>
      <c r="I24" s="770"/>
      <c r="J24" s="770">
        <v>1.2</v>
      </c>
      <c r="K24" s="770">
        <f t="shared" si="2"/>
        <v>8.8000000000000007</v>
      </c>
      <c r="L24" s="770">
        <f t="shared" si="3"/>
        <v>1498.565877</v>
      </c>
    </row>
    <row r="25" spans="1:12" s="771" customFormat="1" ht="15.75">
      <c r="A25" s="766">
        <v>15</v>
      </c>
      <c r="B25" s="767" t="s">
        <v>1146</v>
      </c>
      <c r="C25" s="773">
        <v>9234</v>
      </c>
      <c r="D25" s="770">
        <v>8500</v>
      </c>
      <c r="E25" s="770">
        <v>4000</v>
      </c>
      <c r="F25" s="770">
        <v>8500</v>
      </c>
      <c r="G25" s="770">
        <f t="shared" si="1"/>
        <v>9234</v>
      </c>
      <c r="H25" s="770">
        <v>1380</v>
      </c>
      <c r="I25" s="770"/>
      <c r="J25" s="770">
        <v>1380</v>
      </c>
      <c r="K25" s="770">
        <f t="shared" si="2"/>
        <v>0</v>
      </c>
      <c r="L25" s="770">
        <f t="shared" si="3"/>
        <v>9234</v>
      </c>
    </row>
    <row r="26" spans="1:12" s="771" customFormat="1" ht="15.75">
      <c r="A26" s="766">
        <v>16</v>
      </c>
      <c r="B26" s="772" t="s">
        <v>1147</v>
      </c>
      <c r="C26" s="773">
        <v>4987</v>
      </c>
      <c r="D26" s="770">
        <v>1650</v>
      </c>
      <c r="E26" s="770"/>
      <c r="F26" s="770">
        <v>2690</v>
      </c>
      <c r="G26" s="770">
        <f t="shared" si="1"/>
        <v>3947</v>
      </c>
      <c r="H26" s="770">
        <v>950</v>
      </c>
      <c r="I26" s="770">
        <v>0</v>
      </c>
      <c r="J26" s="770">
        <v>920</v>
      </c>
      <c r="K26" s="770">
        <f t="shared" si="2"/>
        <v>30</v>
      </c>
      <c r="L26" s="770">
        <f t="shared" si="3"/>
        <v>5017</v>
      </c>
    </row>
    <row r="27" spans="1:12" s="771" customFormat="1" ht="31.5">
      <c r="A27" s="766">
        <v>17</v>
      </c>
      <c r="B27" s="772" t="s">
        <v>1148</v>
      </c>
      <c r="C27" s="773">
        <v>2900</v>
      </c>
      <c r="D27" s="770">
        <v>0</v>
      </c>
      <c r="E27" s="770"/>
      <c r="F27" s="770">
        <v>0</v>
      </c>
      <c r="G27" s="770">
        <f t="shared" si="1"/>
        <v>2900</v>
      </c>
      <c r="H27" s="770">
        <v>0</v>
      </c>
      <c r="I27" s="770"/>
      <c r="J27" s="770">
        <v>0</v>
      </c>
      <c r="K27" s="770">
        <f t="shared" si="2"/>
        <v>0</v>
      </c>
      <c r="L27" s="770">
        <f t="shared" si="3"/>
        <v>2900</v>
      </c>
    </row>
    <row r="28" spans="1:12" s="771" customFormat="1" ht="9" customHeight="1">
      <c r="A28" s="774"/>
      <c r="B28" s="774"/>
      <c r="C28" s="774"/>
      <c r="D28" s="774"/>
      <c r="E28" s="774"/>
      <c r="F28" s="774"/>
      <c r="G28" s="774"/>
      <c r="H28" s="774"/>
      <c r="I28" s="774"/>
      <c r="J28" s="774"/>
      <c r="K28" s="774"/>
      <c r="L28" s="774"/>
    </row>
    <row r="29" spans="1:12" s="771" customFormat="1" ht="15.75">
      <c r="A29" s="775" t="s">
        <v>1149</v>
      </c>
    </row>
  </sheetData>
  <mergeCells count="18">
    <mergeCell ref="H7:H8"/>
    <mergeCell ref="I7:I8"/>
    <mergeCell ref="A2:L2"/>
    <mergeCell ref="A3:L3"/>
    <mergeCell ref="A5:A8"/>
    <mergeCell ref="B5:B8"/>
    <mergeCell ref="C5:C8"/>
    <mergeCell ref="D5:G5"/>
    <mergeCell ref="H5:K5"/>
    <mergeCell ref="L5:L8"/>
    <mergeCell ref="D6:E6"/>
    <mergeCell ref="F6:F8"/>
    <mergeCell ref="G6:G8"/>
    <mergeCell ref="H6:I6"/>
    <mergeCell ref="J6:J8"/>
    <mergeCell ref="K6:K8"/>
    <mergeCell ref="D7:D8"/>
    <mergeCell ref="E7:E8"/>
  </mergeCells>
  <printOptions horizontalCentered="1"/>
  <pageMargins left="0.27" right="0.27" top="0.57999999999999996" bottom="0.51" header="0.32" footer="0.39"/>
  <pageSetup paperSize="9" scale="62" orientation="portrait" r:id="rId1"/>
  <headerFooter>
    <oddFooter>&amp;C&amp;".VnTimeH,Regular"&amp;P/&amp;N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41"/>
  <sheetViews>
    <sheetView zoomScale="70" zoomScaleNormal="70" workbookViewId="0">
      <selection activeCell="A40" sqref="A40:XFD41"/>
    </sheetView>
  </sheetViews>
  <sheetFormatPr defaultRowHeight="15.75" outlineLevelRow="1"/>
  <cols>
    <col min="1" max="1" width="6.7109375" style="405" customWidth="1"/>
    <col min="2" max="2" width="65" style="405" customWidth="1"/>
    <col min="3" max="3" width="19.140625" style="405" customWidth="1"/>
    <col min="4" max="4" width="18" style="405" customWidth="1"/>
    <col min="5" max="5" width="19.85546875" style="405" customWidth="1"/>
    <col min="6" max="256" width="9.140625" style="405"/>
    <col min="257" max="257" width="6.7109375" style="405" customWidth="1"/>
    <col min="258" max="258" width="65" style="405" customWidth="1"/>
    <col min="259" max="259" width="19.140625" style="405" customWidth="1"/>
    <col min="260" max="260" width="18" style="405" customWidth="1"/>
    <col min="261" max="261" width="19.85546875" style="405" customWidth="1"/>
    <col min="262" max="512" width="9.140625" style="405"/>
    <col min="513" max="513" width="6.7109375" style="405" customWidth="1"/>
    <col min="514" max="514" width="65" style="405" customWidth="1"/>
    <col min="515" max="515" width="19.140625" style="405" customWidth="1"/>
    <col min="516" max="516" width="18" style="405" customWidth="1"/>
    <col min="517" max="517" width="19.85546875" style="405" customWidth="1"/>
    <col min="518" max="768" width="9.140625" style="405"/>
    <col min="769" max="769" width="6.7109375" style="405" customWidth="1"/>
    <col min="770" max="770" width="65" style="405" customWidth="1"/>
    <col min="771" max="771" width="19.140625" style="405" customWidth="1"/>
    <col min="772" max="772" width="18" style="405" customWidth="1"/>
    <col min="773" max="773" width="19.85546875" style="405" customWidth="1"/>
    <col min="774" max="1024" width="9.140625" style="405"/>
    <col min="1025" max="1025" width="6.7109375" style="405" customWidth="1"/>
    <col min="1026" max="1026" width="65" style="405" customWidth="1"/>
    <col min="1027" max="1027" width="19.140625" style="405" customWidth="1"/>
    <col min="1028" max="1028" width="18" style="405" customWidth="1"/>
    <col min="1029" max="1029" width="19.85546875" style="405" customWidth="1"/>
    <col min="1030" max="1280" width="9.140625" style="405"/>
    <col min="1281" max="1281" width="6.7109375" style="405" customWidth="1"/>
    <col min="1282" max="1282" width="65" style="405" customWidth="1"/>
    <col min="1283" max="1283" width="19.140625" style="405" customWidth="1"/>
    <col min="1284" max="1284" width="18" style="405" customWidth="1"/>
    <col min="1285" max="1285" width="19.85546875" style="405" customWidth="1"/>
    <col min="1286" max="1536" width="9.140625" style="405"/>
    <col min="1537" max="1537" width="6.7109375" style="405" customWidth="1"/>
    <col min="1538" max="1538" width="65" style="405" customWidth="1"/>
    <col min="1539" max="1539" width="19.140625" style="405" customWidth="1"/>
    <col min="1540" max="1540" width="18" style="405" customWidth="1"/>
    <col min="1541" max="1541" width="19.85546875" style="405" customWidth="1"/>
    <col min="1542" max="1792" width="9.140625" style="405"/>
    <col min="1793" max="1793" width="6.7109375" style="405" customWidth="1"/>
    <col min="1794" max="1794" width="65" style="405" customWidth="1"/>
    <col min="1795" max="1795" width="19.140625" style="405" customWidth="1"/>
    <col min="1796" max="1796" width="18" style="405" customWidth="1"/>
    <col min="1797" max="1797" width="19.85546875" style="405" customWidth="1"/>
    <col min="1798" max="2048" width="9.140625" style="405"/>
    <col min="2049" max="2049" width="6.7109375" style="405" customWidth="1"/>
    <col min="2050" max="2050" width="65" style="405" customWidth="1"/>
    <col min="2051" max="2051" width="19.140625" style="405" customWidth="1"/>
    <col min="2052" max="2052" width="18" style="405" customWidth="1"/>
    <col min="2053" max="2053" width="19.85546875" style="405" customWidth="1"/>
    <col min="2054" max="2304" width="9.140625" style="405"/>
    <col min="2305" max="2305" width="6.7109375" style="405" customWidth="1"/>
    <col min="2306" max="2306" width="65" style="405" customWidth="1"/>
    <col min="2307" max="2307" width="19.140625" style="405" customWidth="1"/>
    <col min="2308" max="2308" width="18" style="405" customWidth="1"/>
    <col min="2309" max="2309" width="19.85546875" style="405" customWidth="1"/>
    <col min="2310" max="2560" width="9.140625" style="405"/>
    <col min="2561" max="2561" width="6.7109375" style="405" customWidth="1"/>
    <col min="2562" max="2562" width="65" style="405" customWidth="1"/>
    <col min="2563" max="2563" width="19.140625" style="405" customWidth="1"/>
    <col min="2564" max="2564" width="18" style="405" customWidth="1"/>
    <col min="2565" max="2565" width="19.85546875" style="405" customWidth="1"/>
    <col min="2566" max="2816" width="9.140625" style="405"/>
    <col min="2817" max="2817" width="6.7109375" style="405" customWidth="1"/>
    <col min="2818" max="2818" width="65" style="405" customWidth="1"/>
    <col min="2819" max="2819" width="19.140625" style="405" customWidth="1"/>
    <col min="2820" max="2820" width="18" style="405" customWidth="1"/>
    <col min="2821" max="2821" width="19.85546875" style="405" customWidth="1"/>
    <col min="2822" max="3072" width="9.140625" style="405"/>
    <col min="3073" max="3073" width="6.7109375" style="405" customWidth="1"/>
    <col min="3074" max="3074" width="65" style="405" customWidth="1"/>
    <col min="3075" max="3075" width="19.140625" style="405" customWidth="1"/>
    <col min="3076" max="3076" width="18" style="405" customWidth="1"/>
    <col min="3077" max="3077" width="19.85546875" style="405" customWidth="1"/>
    <col min="3078" max="3328" width="9.140625" style="405"/>
    <col min="3329" max="3329" width="6.7109375" style="405" customWidth="1"/>
    <col min="3330" max="3330" width="65" style="405" customWidth="1"/>
    <col min="3331" max="3331" width="19.140625" style="405" customWidth="1"/>
    <col min="3332" max="3332" width="18" style="405" customWidth="1"/>
    <col min="3333" max="3333" width="19.85546875" style="405" customWidth="1"/>
    <col min="3334" max="3584" width="9.140625" style="405"/>
    <col min="3585" max="3585" width="6.7109375" style="405" customWidth="1"/>
    <col min="3586" max="3586" width="65" style="405" customWidth="1"/>
    <col min="3587" max="3587" width="19.140625" style="405" customWidth="1"/>
    <col min="3588" max="3588" width="18" style="405" customWidth="1"/>
    <col min="3589" max="3589" width="19.85546875" style="405" customWidth="1"/>
    <col min="3590" max="3840" width="9.140625" style="405"/>
    <col min="3841" max="3841" width="6.7109375" style="405" customWidth="1"/>
    <col min="3842" max="3842" width="65" style="405" customWidth="1"/>
    <col min="3843" max="3843" width="19.140625" style="405" customWidth="1"/>
    <col min="3844" max="3844" width="18" style="405" customWidth="1"/>
    <col min="3845" max="3845" width="19.85546875" style="405" customWidth="1"/>
    <col min="3846" max="4096" width="9.140625" style="405"/>
    <col min="4097" max="4097" width="6.7109375" style="405" customWidth="1"/>
    <col min="4098" max="4098" width="65" style="405" customWidth="1"/>
    <col min="4099" max="4099" width="19.140625" style="405" customWidth="1"/>
    <col min="4100" max="4100" width="18" style="405" customWidth="1"/>
    <col min="4101" max="4101" width="19.85546875" style="405" customWidth="1"/>
    <col min="4102" max="4352" width="9.140625" style="405"/>
    <col min="4353" max="4353" width="6.7109375" style="405" customWidth="1"/>
    <col min="4354" max="4354" width="65" style="405" customWidth="1"/>
    <col min="4355" max="4355" width="19.140625" style="405" customWidth="1"/>
    <col min="4356" max="4356" width="18" style="405" customWidth="1"/>
    <col min="4357" max="4357" width="19.85546875" style="405" customWidth="1"/>
    <col min="4358" max="4608" width="9.140625" style="405"/>
    <col min="4609" max="4609" width="6.7109375" style="405" customWidth="1"/>
    <col min="4610" max="4610" width="65" style="405" customWidth="1"/>
    <col min="4611" max="4611" width="19.140625" style="405" customWidth="1"/>
    <col min="4612" max="4612" width="18" style="405" customWidth="1"/>
    <col min="4613" max="4613" width="19.85546875" style="405" customWidth="1"/>
    <col min="4614" max="4864" width="9.140625" style="405"/>
    <col min="4865" max="4865" width="6.7109375" style="405" customWidth="1"/>
    <col min="4866" max="4866" width="65" style="405" customWidth="1"/>
    <col min="4867" max="4867" width="19.140625" style="405" customWidth="1"/>
    <col min="4868" max="4868" width="18" style="405" customWidth="1"/>
    <col min="4869" max="4869" width="19.85546875" style="405" customWidth="1"/>
    <col min="4870" max="5120" width="9.140625" style="405"/>
    <col min="5121" max="5121" width="6.7109375" style="405" customWidth="1"/>
    <col min="5122" max="5122" width="65" style="405" customWidth="1"/>
    <col min="5123" max="5123" width="19.140625" style="405" customWidth="1"/>
    <col min="5124" max="5124" width="18" style="405" customWidth="1"/>
    <col min="5125" max="5125" width="19.85546875" style="405" customWidth="1"/>
    <col min="5126" max="5376" width="9.140625" style="405"/>
    <col min="5377" max="5377" width="6.7109375" style="405" customWidth="1"/>
    <col min="5378" max="5378" width="65" style="405" customWidth="1"/>
    <col min="5379" max="5379" width="19.140625" style="405" customWidth="1"/>
    <col min="5380" max="5380" width="18" style="405" customWidth="1"/>
    <col min="5381" max="5381" width="19.85546875" style="405" customWidth="1"/>
    <col min="5382" max="5632" width="9.140625" style="405"/>
    <col min="5633" max="5633" width="6.7109375" style="405" customWidth="1"/>
    <col min="5634" max="5634" width="65" style="405" customWidth="1"/>
    <col min="5635" max="5635" width="19.140625" style="405" customWidth="1"/>
    <col min="5636" max="5636" width="18" style="405" customWidth="1"/>
    <col min="5637" max="5637" width="19.85546875" style="405" customWidth="1"/>
    <col min="5638" max="5888" width="9.140625" style="405"/>
    <col min="5889" max="5889" width="6.7109375" style="405" customWidth="1"/>
    <col min="5890" max="5890" width="65" style="405" customWidth="1"/>
    <col min="5891" max="5891" width="19.140625" style="405" customWidth="1"/>
    <col min="5892" max="5892" width="18" style="405" customWidth="1"/>
    <col min="5893" max="5893" width="19.85546875" style="405" customWidth="1"/>
    <col min="5894" max="6144" width="9.140625" style="405"/>
    <col min="6145" max="6145" width="6.7109375" style="405" customWidth="1"/>
    <col min="6146" max="6146" width="65" style="405" customWidth="1"/>
    <col min="6147" max="6147" width="19.140625" style="405" customWidth="1"/>
    <col min="6148" max="6148" width="18" style="405" customWidth="1"/>
    <col min="6149" max="6149" width="19.85546875" style="405" customWidth="1"/>
    <col min="6150" max="6400" width="9.140625" style="405"/>
    <col min="6401" max="6401" width="6.7109375" style="405" customWidth="1"/>
    <col min="6402" max="6402" width="65" style="405" customWidth="1"/>
    <col min="6403" max="6403" width="19.140625" style="405" customWidth="1"/>
    <col min="6404" max="6404" width="18" style="405" customWidth="1"/>
    <col min="6405" max="6405" width="19.85546875" style="405" customWidth="1"/>
    <col min="6406" max="6656" width="9.140625" style="405"/>
    <col min="6657" max="6657" width="6.7109375" style="405" customWidth="1"/>
    <col min="6658" max="6658" width="65" style="405" customWidth="1"/>
    <col min="6659" max="6659" width="19.140625" style="405" customWidth="1"/>
    <col min="6660" max="6660" width="18" style="405" customWidth="1"/>
    <col min="6661" max="6661" width="19.85546875" style="405" customWidth="1"/>
    <col min="6662" max="6912" width="9.140625" style="405"/>
    <col min="6913" max="6913" width="6.7109375" style="405" customWidth="1"/>
    <col min="6914" max="6914" width="65" style="405" customWidth="1"/>
    <col min="6915" max="6915" width="19.140625" style="405" customWidth="1"/>
    <col min="6916" max="6916" width="18" style="405" customWidth="1"/>
    <col min="6917" max="6917" width="19.85546875" style="405" customWidth="1"/>
    <col min="6918" max="7168" width="9.140625" style="405"/>
    <col min="7169" max="7169" width="6.7109375" style="405" customWidth="1"/>
    <col min="7170" max="7170" width="65" style="405" customWidth="1"/>
    <col min="7171" max="7171" width="19.140625" style="405" customWidth="1"/>
    <col min="7172" max="7172" width="18" style="405" customWidth="1"/>
    <col min="7173" max="7173" width="19.85546875" style="405" customWidth="1"/>
    <col min="7174" max="7424" width="9.140625" style="405"/>
    <col min="7425" max="7425" width="6.7109375" style="405" customWidth="1"/>
    <col min="7426" max="7426" width="65" style="405" customWidth="1"/>
    <col min="7427" max="7427" width="19.140625" style="405" customWidth="1"/>
    <col min="7428" max="7428" width="18" style="405" customWidth="1"/>
    <col min="7429" max="7429" width="19.85546875" style="405" customWidth="1"/>
    <col min="7430" max="7680" width="9.140625" style="405"/>
    <col min="7681" max="7681" width="6.7109375" style="405" customWidth="1"/>
    <col min="7682" max="7682" width="65" style="405" customWidth="1"/>
    <col min="7683" max="7683" width="19.140625" style="405" customWidth="1"/>
    <col min="7684" max="7684" width="18" style="405" customWidth="1"/>
    <col min="7685" max="7685" width="19.85546875" style="405" customWidth="1"/>
    <col min="7686" max="7936" width="9.140625" style="405"/>
    <col min="7937" max="7937" width="6.7109375" style="405" customWidth="1"/>
    <col min="7938" max="7938" width="65" style="405" customWidth="1"/>
    <col min="7939" max="7939" width="19.140625" style="405" customWidth="1"/>
    <col min="7940" max="7940" width="18" style="405" customWidth="1"/>
    <col min="7941" max="7941" width="19.85546875" style="405" customWidth="1"/>
    <col min="7942" max="8192" width="9.140625" style="405"/>
    <col min="8193" max="8193" width="6.7109375" style="405" customWidth="1"/>
    <col min="8194" max="8194" width="65" style="405" customWidth="1"/>
    <col min="8195" max="8195" width="19.140625" style="405" customWidth="1"/>
    <col min="8196" max="8196" width="18" style="405" customWidth="1"/>
    <col min="8197" max="8197" width="19.85546875" style="405" customWidth="1"/>
    <col min="8198" max="8448" width="9.140625" style="405"/>
    <col min="8449" max="8449" width="6.7109375" style="405" customWidth="1"/>
    <col min="8450" max="8450" width="65" style="405" customWidth="1"/>
    <col min="8451" max="8451" width="19.140625" style="405" customWidth="1"/>
    <col min="8452" max="8452" width="18" style="405" customWidth="1"/>
    <col min="8453" max="8453" width="19.85546875" style="405" customWidth="1"/>
    <col min="8454" max="8704" width="9.140625" style="405"/>
    <col min="8705" max="8705" width="6.7109375" style="405" customWidth="1"/>
    <col min="8706" max="8706" width="65" style="405" customWidth="1"/>
    <col min="8707" max="8707" width="19.140625" style="405" customWidth="1"/>
    <col min="8708" max="8708" width="18" style="405" customWidth="1"/>
    <col min="8709" max="8709" width="19.85546875" style="405" customWidth="1"/>
    <col min="8710" max="8960" width="9.140625" style="405"/>
    <col min="8961" max="8961" width="6.7109375" style="405" customWidth="1"/>
    <col min="8962" max="8962" width="65" style="405" customWidth="1"/>
    <col min="8963" max="8963" width="19.140625" style="405" customWidth="1"/>
    <col min="8964" max="8964" width="18" style="405" customWidth="1"/>
    <col min="8965" max="8965" width="19.85546875" style="405" customWidth="1"/>
    <col min="8966" max="9216" width="9.140625" style="405"/>
    <col min="9217" max="9217" width="6.7109375" style="405" customWidth="1"/>
    <col min="9218" max="9218" width="65" style="405" customWidth="1"/>
    <col min="9219" max="9219" width="19.140625" style="405" customWidth="1"/>
    <col min="9220" max="9220" width="18" style="405" customWidth="1"/>
    <col min="9221" max="9221" width="19.85546875" style="405" customWidth="1"/>
    <col min="9222" max="9472" width="9.140625" style="405"/>
    <col min="9473" max="9473" width="6.7109375" style="405" customWidth="1"/>
    <col min="9474" max="9474" width="65" style="405" customWidth="1"/>
    <col min="9475" max="9475" width="19.140625" style="405" customWidth="1"/>
    <col min="9476" max="9476" width="18" style="405" customWidth="1"/>
    <col min="9477" max="9477" width="19.85546875" style="405" customWidth="1"/>
    <col min="9478" max="9728" width="9.140625" style="405"/>
    <col min="9729" max="9729" width="6.7109375" style="405" customWidth="1"/>
    <col min="9730" max="9730" width="65" style="405" customWidth="1"/>
    <col min="9731" max="9731" width="19.140625" style="405" customWidth="1"/>
    <col min="9732" max="9732" width="18" style="405" customWidth="1"/>
    <col min="9733" max="9733" width="19.85546875" style="405" customWidth="1"/>
    <col min="9734" max="9984" width="9.140625" style="405"/>
    <col min="9985" max="9985" width="6.7109375" style="405" customWidth="1"/>
    <col min="9986" max="9986" width="65" style="405" customWidth="1"/>
    <col min="9987" max="9987" width="19.140625" style="405" customWidth="1"/>
    <col min="9988" max="9988" width="18" style="405" customWidth="1"/>
    <col min="9989" max="9989" width="19.85546875" style="405" customWidth="1"/>
    <col min="9990" max="10240" width="9.140625" style="405"/>
    <col min="10241" max="10241" width="6.7109375" style="405" customWidth="1"/>
    <col min="10242" max="10242" width="65" style="405" customWidth="1"/>
    <col min="10243" max="10243" width="19.140625" style="405" customWidth="1"/>
    <col min="10244" max="10244" width="18" style="405" customWidth="1"/>
    <col min="10245" max="10245" width="19.85546875" style="405" customWidth="1"/>
    <col min="10246" max="10496" width="9.140625" style="405"/>
    <col min="10497" max="10497" width="6.7109375" style="405" customWidth="1"/>
    <col min="10498" max="10498" width="65" style="405" customWidth="1"/>
    <col min="10499" max="10499" width="19.140625" style="405" customWidth="1"/>
    <col min="10500" max="10500" width="18" style="405" customWidth="1"/>
    <col min="10501" max="10501" width="19.85546875" style="405" customWidth="1"/>
    <col min="10502" max="10752" width="9.140625" style="405"/>
    <col min="10753" max="10753" width="6.7109375" style="405" customWidth="1"/>
    <col min="10754" max="10754" width="65" style="405" customWidth="1"/>
    <col min="10755" max="10755" width="19.140625" style="405" customWidth="1"/>
    <col min="10756" max="10756" width="18" style="405" customWidth="1"/>
    <col min="10757" max="10757" width="19.85546875" style="405" customWidth="1"/>
    <col min="10758" max="11008" width="9.140625" style="405"/>
    <col min="11009" max="11009" width="6.7109375" style="405" customWidth="1"/>
    <col min="11010" max="11010" width="65" style="405" customWidth="1"/>
    <col min="11011" max="11011" width="19.140625" style="405" customWidth="1"/>
    <col min="11012" max="11012" width="18" style="405" customWidth="1"/>
    <col min="11013" max="11013" width="19.85546875" style="405" customWidth="1"/>
    <col min="11014" max="11264" width="9.140625" style="405"/>
    <col min="11265" max="11265" width="6.7109375" style="405" customWidth="1"/>
    <col min="11266" max="11266" width="65" style="405" customWidth="1"/>
    <col min="11267" max="11267" width="19.140625" style="405" customWidth="1"/>
    <col min="11268" max="11268" width="18" style="405" customWidth="1"/>
    <col min="11269" max="11269" width="19.85546875" style="405" customWidth="1"/>
    <col min="11270" max="11520" width="9.140625" style="405"/>
    <col min="11521" max="11521" width="6.7109375" style="405" customWidth="1"/>
    <col min="11522" max="11522" width="65" style="405" customWidth="1"/>
    <col min="11523" max="11523" width="19.140625" style="405" customWidth="1"/>
    <col min="11524" max="11524" width="18" style="405" customWidth="1"/>
    <col min="11525" max="11525" width="19.85546875" style="405" customWidth="1"/>
    <col min="11526" max="11776" width="9.140625" style="405"/>
    <col min="11777" max="11777" width="6.7109375" style="405" customWidth="1"/>
    <col min="11778" max="11778" width="65" style="405" customWidth="1"/>
    <col min="11779" max="11779" width="19.140625" style="405" customWidth="1"/>
    <col min="11780" max="11780" width="18" style="405" customWidth="1"/>
    <col min="11781" max="11781" width="19.85546875" style="405" customWidth="1"/>
    <col min="11782" max="12032" width="9.140625" style="405"/>
    <col min="12033" max="12033" width="6.7109375" style="405" customWidth="1"/>
    <col min="12034" max="12034" width="65" style="405" customWidth="1"/>
    <col min="12035" max="12035" width="19.140625" style="405" customWidth="1"/>
    <col min="12036" max="12036" width="18" style="405" customWidth="1"/>
    <col min="12037" max="12037" width="19.85546875" style="405" customWidth="1"/>
    <col min="12038" max="12288" width="9.140625" style="405"/>
    <col min="12289" max="12289" width="6.7109375" style="405" customWidth="1"/>
    <col min="12290" max="12290" width="65" style="405" customWidth="1"/>
    <col min="12291" max="12291" width="19.140625" style="405" customWidth="1"/>
    <col min="12292" max="12292" width="18" style="405" customWidth="1"/>
    <col min="12293" max="12293" width="19.85546875" style="405" customWidth="1"/>
    <col min="12294" max="12544" width="9.140625" style="405"/>
    <col min="12545" max="12545" width="6.7109375" style="405" customWidth="1"/>
    <col min="12546" max="12546" width="65" style="405" customWidth="1"/>
    <col min="12547" max="12547" width="19.140625" style="405" customWidth="1"/>
    <col min="12548" max="12548" width="18" style="405" customWidth="1"/>
    <col min="12549" max="12549" width="19.85546875" style="405" customWidth="1"/>
    <col min="12550" max="12800" width="9.140625" style="405"/>
    <col min="12801" max="12801" width="6.7109375" style="405" customWidth="1"/>
    <col min="12802" max="12802" width="65" style="405" customWidth="1"/>
    <col min="12803" max="12803" width="19.140625" style="405" customWidth="1"/>
    <col min="12804" max="12804" width="18" style="405" customWidth="1"/>
    <col min="12805" max="12805" width="19.85546875" style="405" customWidth="1"/>
    <col min="12806" max="13056" width="9.140625" style="405"/>
    <col min="13057" max="13057" width="6.7109375" style="405" customWidth="1"/>
    <col min="13058" max="13058" width="65" style="405" customWidth="1"/>
    <col min="13059" max="13059" width="19.140625" style="405" customWidth="1"/>
    <col min="13060" max="13060" width="18" style="405" customWidth="1"/>
    <col min="13061" max="13061" width="19.85546875" style="405" customWidth="1"/>
    <col min="13062" max="13312" width="9.140625" style="405"/>
    <col min="13313" max="13313" width="6.7109375" style="405" customWidth="1"/>
    <col min="13314" max="13314" width="65" style="405" customWidth="1"/>
    <col min="13315" max="13315" width="19.140625" style="405" customWidth="1"/>
    <col min="13316" max="13316" width="18" style="405" customWidth="1"/>
    <col min="13317" max="13317" width="19.85546875" style="405" customWidth="1"/>
    <col min="13318" max="13568" width="9.140625" style="405"/>
    <col min="13569" max="13569" width="6.7109375" style="405" customWidth="1"/>
    <col min="13570" max="13570" width="65" style="405" customWidth="1"/>
    <col min="13571" max="13571" width="19.140625" style="405" customWidth="1"/>
    <col min="13572" max="13572" width="18" style="405" customWidth="1"/>
    <col min="13573" max="13573" width="19.85546875" style="405" customWidth="1"/>
    <col min="13574" max="13824" width="9.140625" style="405"/>
    <col min="13825" max="13825" width="6.7109375" style="405" customWidth="1"/>
    <col min="13826" max="13826" width="65" style="405" customWidth="1"/>
    <col min="13827" max="13827" width="19.140625" style="405" customWidth="1"/>
    <col min="13828" max="13828" width="18" style="405" customWidth="1"/>
    <col min="13829" max="13829" width="19.85546875" style="405" customWidth="1"/>
    <col min="13830" max="14080" width="9.140625" style="405"/>
    <col min="14081" max="14081" width="6.7109375" style="405" customWidth="1"/>
    <col min="14082" max="14082" width="65" style="405" customWidth="1"/>
    <col min="14083" max="14083" width="19.140625" style="405" customWidth="1"/>
    <col min="14084" max="14084" width="18" style="405" customWidth="1"/>
    <col min="14085" max="14085" width="19.85546875" style="405" customWidth="1"/>
    <col min="14086" max="14336" width="9.140625" style="405"/>
    <col min="14337" max="14337" width="6.7109375" style="405" customWidth="1"/>
    <col min="14338" max="14338" width="65" style="405" customWidth="1"/>
    <col min="14339" max="14339" width="19.140625" style="405" customWidth="1"/>
    <col min="14340" max="14340" width="18" style="405" customWidth="1"/>
    <col min="14341" max="14341" width="19.85546875" style="405" customWidth="1"/>
    <col min="14342" max="14592" width="9.140625" style="405"/>
    <col min="14593" max="14593" width="6.7109375" style="405" customWidth="1"/>
    <col min="14594" max="14594" width="65" style="405" customWidth="1"/>
    <col min="14595" max="14595" width="19.140625" style="405" customWidth="1"/>
    <col min="14596" max="14596" width="18" style="405" customWidth="1"/>
    <col min="14597" max="14597" width="19.85546875" style="405" customWidth="1"/>
    <col min="14598" max="14848" width="9.140625" style="405"/>
    <col min="14849" max="14849" width="6.7109375" style="405" customWidth="1"/>
    <col min="14850" max="14850" width="65" style="405" customWidth="1"/>
    <col min="14851" max="14851" width="19.140625" style="405" customWidth="1"/>
    <col min="14852" max="14852" width="18" style="405" customWidth="1"/>
    <col min="14853" max="14853" width="19.85546875" style="405" customWidth="1"/>
    <col min="14854" max="15104" width="9.140625" style="405"/>
    <col min="15105" max="15105" width="6.7109375" style="405" customWidth="1"/>
    <col min="15106" max="15106" width="65" style="405" customWidth="1"/>
    <col min="15107" max="15107" width="19.140625" style="405" customWidth="1"/>
    <col min="15108" max="15108" width="18" style="405" customWidth="1"/>
    <col min="15109" max="15109" width="19.85546875" style="405" customWidth="1"/>
    <col min="15110" max="15360" width="9.140625" style="405"/>
    <col min="15361" max="15361" width="6.7109375" style="405" customWidth="1"/>
    <col min="15362" max="15362" width="65" style="405" customWidth="1"/>
    <col min="15363" max="15363" width="19.140625" style="405" customWidth="1"/>
    <col min="15364" max="15364" width="18" style="405" customWidth="1"/>
    <col min="15365" max="15365" width="19.85546875" style="405" customWidth="1"/>
    <col min="15366" max="15616" width="9.140625" style="405"/>
    <col min="15617" max="15617" width="6.7109375" style="405" customWidth="1"/>
    <col min="15618" max="15618" width="65" style="405" customWidth="1"/>
    <col min="15619" max="15619" width="19.140625" style="405" customWidth="1"/>
    <col min="15620" max="15620" width="18" style="405" customWidth="1"/>
    <col min="15621" max="15621" width="19.85546875" style="405" customWidth="1"/>
    <col min="15622" max="15872" width="9.140625" style="405"/>
    <col min="15873" max="15873" width="6.7109375" style="405" customWidth="1"/>
    <col min="15874" max="15874" width="65" style="405" customWidth="1"/>
    <col min="15875" max="15875" width="19.140625" style="405" customWidth="1"/>
    <col min="15876" max="15876" width="18" style="405" customWidth="1"/>
    <col min="15877" max="15877" width="19.85546875" style="405" customWidth="1"/>
    <col min="15878" max="16128" width="9.140625" style="405"/>
    <col min="16129" max="16129" width="6.7109375" style="405" customWidth="1"/>
    <col min="16130" max="16130" width="65" style="405" customWidth="1"/>
    <col min="16131" max="16131" width="19.140625" style="405" customWidth="1"/>
    <col min="16132" max="16132" width="18" style="405" customWidth="1"/>
    <col min="16133" max="16133" width="19.85546875" style="405" customWidth="1"/>
    <col min="16134" max="16384" width="9.140625" style="405"/>
  </cols>
  <sheetData>
    <row r="1" spans="1:12" ht="27.75" customHeight="1">
      <c r="A1" s="403"/>
      <c r="B1" s="404"/>
      <c r="D1" s="406"/>
      <c r="E1" s="407" t="s">
        <v>1076</v>
      </c>
    </row>
    <row r="2" spans="1:12" ht="47.25" customHeight="1">
      <c r="A2" s="1147" t="s">
        <v>1077</v>
      </c>
      <c r="B2" s="1147"/>
      <c r="C2" s="1147"/>
      <c r="D2" s="1147"/>
      <c r="E2" s="1147"/>
    </row>
    <row r="3" spans="1:12" ht="30.75" customHeight="1">
      <c r="A3" s="1148" t="s">
        <v>460</v>
      </c>
      <c r="B3" s="1148"/>
      <c r="C3" s="1148"/>
      <c r="D3" s="1148"/>
      <c r="E3" s="1148"/>
    </row>
    <row r="4" spans="1:12" ht="18.75" customHeight="1">
      <c r="D4" s="408"/>
      <c r="E4" s="409" t="s">
        <v>2</v>
      </c>
      <c r="F4" s="381"/>
      <c r="G4" s="381"/>
      <c r="H4" s="381"/>
      <c r="I4" s="381"/>
      <c r="J4" s="381"/>
      <c r="K4" s="381"/>
      <c r="L4" s="381"/>
    </row>
    <row r="5" spans="1:12" ht="80.25" customHeight="1">
      <c r="A5" s="269" t="s">
        <v>3</v>
      </c>
      <c r="B5" s="269" t="s">
        <v>4</v>
      </c>
      <c r="C5" s="410" t="s">
        <v>1078</v>
      </c>
      <c r="D5" s="269" t="s">
        <v>6</v>
      </c>
      <c r="E5" s="410" t="s">
        <v>461</v>
      </c>
    </row>
    <row r="6" spans="1:12" s="411" customFormat="1" ht="27.6" customHeight="1">
      <c r="A6" s="269" t="s">
        <v>10</v>
      </c>
      <c r="B6" s="269" t="s">
        <v>11</v>
      </c>
      <c r="C6" s="269">
        <v>1</v>
      </c>
      <c r="D6" s="269">
        <v>2</v>
      </c>
      <c r="E6" s="269" t="s">
        <v>1079</v>
      </c>
    </row>
    <row r="7" spans="1:12" s="416" customFormat="1" ht="33.950000000000003" customHeight="1">
      <c r="A7" s="412"/>
      <c r="B7" s="412" t="s">
        <v>102</v>
      </c>
      <c r="C7" s="413">
        <f>C8+C13+C14+C15+C18+C19+C20+C35+C39</f>
        <v>593627</v>
      </c>
      <c r="D7" s="413">
        <f>D8+D13+D14+D15+D18+D19+D20+D35+D39</f>
        <v>656212</v>
      </c>
      <c r="E7" s="414">
        <f t="shared" ref="E7:E40" si="0">D7/C7*100</f>
        <v>110.542815606433</v>
      </c>
      <c r="F7" s="415"/>
    </row>
    <row r="8" spans="1:12" ht="33.950000000000003" customHeight="1">
      <c r="A8" s="417">
        <v>1</v>
      </c>
      <c r="B8" s="418" t="s">
        <v>1080</v>
      </c>
      <c r="C8" s="419">
        <f>C9+C10</f>
        <v>57166</v>
      </c>
      <c r="D8" s="419">
        <f>D9+D10</f>
        <v>55057</v>
      </c>
      <c r="E8" s="419">
        <f>E9+E10</f>
        <v>280.41948688053867</v>
      </c>
    </row>
    <row r="9" spans="1:12" s="424" customFormat="1" ht="33.950000000000003" customHeight="1">
      <c r="A9" s="420" t="s">
        <v>19</v>
      </c>
      <c r="B9" s="421" t="s">
        <v>1081</v>
      </c>
      <c r="C9" s="422">
        <v>36029</v>
      </c>
      <c r="D9" s="422">
        <v>36029</v>
      </c>
      <c r="E9" s="423">
        <f t="shared" si="0"/>
        <v>100</v>
      </c>
    </row>
    <row r="10" spans="1:12" s="424" customFormat="1" ht="33.950000000000003" customHeight="1">
      <c r="A10" s="425" t="s">
        <v>19</v>
      </c>
      <c r="B10" s="421" t="s">
        <v>1082</v>
      </c>
      <c r="C10" s="422">
        <f>C11+C12</f>
        <v>21137</v>
      </c>
      <c r="D10" s="422">
        <f>D11+D12</f>
        <v>19028</v>
      </c>
      <c r="E10" s="422">
        <f>E11+E12</f>
        <v>180.41948688053867</v>
      </c>
    </row>
    <row r="11" spans="1:12" s="424" customFormat="1" ht="33.950000000000003" hidden="1" customHeight="1" outlineLevel="1">
      <c r="A11" s="426" t="s">
        <v>432</v>
      </c>
      <c r="B11" s="418" t="s">
        <v>1083</v>
      </c>
      <c r="C11" s="427">
        <v>19202</v>
      </c>
      <c r="D11" s="427">
        <v>17278</v>
      </c>
      <c r="E11" s="428">
        <f t="shared" si="0"/>
        <v>89.980210394750543</v>
      </c>
    </row>
    <row r="12" spans="1:12" s="404" customFormat="1" ht="33.950000000000003" hidden="1" customHeight="1" outlineLevel="1">
      <c r="A12" s="426" t="s">
        <v>432</v>
      </c>
      <c r="B12" s="418" t="s">
        <v>1084</v>
      </c>
      <c r="C12" s="427">
        <v>1935</v>
      </c>
      <c r="D12" s="427">
        <v>1750</v>
      </c>
      <c r="E12" s="428">
        <f t="shared" si="0"/>
        <v>90.439276485788113</v>
      </c>
    </row>
    <row r="13" spans="1:12" s="404" customFormat="1" ht="33.950000000000003" customHeight="1" collapsed="1">
      <c r="A13" s="417">
        <f>A8+1</f>
        <v>2</v>
      </c>
      <c r="B13" s="418" t="s">
        <v>1085</v>
      </c>
      <c r="C13" s="419">
        <v>193</v>
      </c>
      <c r="D13" s="419">
        <v>193</v>
      </c>
      <c r="E13" s="429">
        <f t="shared" si="0"/>
        <v>100</v>
      </c>
    </row>
    <row r="14" spans="1:12" s="404" customFormat="1" ht="33.950000000000003" customHeight="1">
      <c r="A14" s="430">
        <f>A13+1</f>
        <v>3</v>
      </c>
      <c r="B14" s="431" t="s">
        <v>1086</v>
      </c>
      <c r="C14" s="432">
        <v>411854</v>
      </c>
      <c r="D14" s="432">
        <v>461995</v>
      </c>
      <c r="E14" s="433">
        <f t="shared" si="0"/>
        <v>112.17445988141428</v>
      </c>
    </row>
    <row r="15" spans="1:12" s="424" customFormat="1" ht="33.950000000000003" customHeight="1">
      <c r="A15" s="417">
        <f t="shared" ref="A15:A20" si="1">A14+1</f>
        <v>4</v>
      </c>
      <c r="B15" s="418" t="s">
        <v>1087</v>
      </c>
      <c r="C15" s="419">
        <f>C16+C17</f>
        <v>189</v>
      </c>
      <c r="D15" s="419">
        <f>D16+D17</f>
        <v>582</v>
      </c>
      <c r="E15" s="419">
        <f>E16+E17</f>
        <v>593</v>
      </c>
    </row>
    <row r="16" spans="1:12" s="424" customFormat="1" ht="33.950000000000003" hidden="1" customHeight="1" outlineLevel="1">
      <c r="A16" s="417" t="s">
        <v>19</v>
      </c>
      <c r="B16" s="418" t="s">
        <v>1088</v>
      </c>
      <c r="C16" s="419">
        <v>89</v>
      </c>
      <c r="D16" s="419">
        <v>89</v>
      </c>
      <c r="E16" s="429">
        <f t="shared" si="0"/>
        <v>100</v>
      </c>
    </row>
    <row r="17" spans="1:5" s="424" customFormat="1" ht="33.950000000000003" hidden="1" customHeight="1" outlineLevel="1">
      <c r="A17" s="417" t="s">
        <v>19</v>
      </c>
      <c r="B17" s="418" t="s">
        <v>1089</v>
      </c>
      <c r="C17" s="419">
        <v>100</v>
      </c>
      <c r="D17" s="419">
        <v>493</v>
      </c>
      <c r="E17" s="429">
        <f t="shared" si="0"/>
        <v>493</v>
      </c>
    </row>
    <row r="18" spans="1:5" s="424" customFormat="1" ht="33.950000000000003" customHeight="1" collapsed="1">
      <c r="A18" s="417">
        <f>A15+1</f>
        <v>5</v>
      </c>
      <c r="B18" s="418" t="s">
        <v>1090</v>
      </c>
      <c r="C18" s="419">
        <v>6700</v>
      </c>
      <c r="D18" s="419">
        <v>6700</v>
      </c>
      <c r="E18" s="429">
        <f t="shared" si="0"/>
        <v>100</v>
      </c>
    </row>
    <row r="19" spans="1:5" s="424" customFormat="1" ht="33.950000000000003" customHeight="1">
      <c r="A19" s="417">
        <f t="shared" si="1"/>
        <v>6</v>
      </c>
      <c r="B19" s="418" t="s">
        <v>1091</v>
      </c>
      <c r="C19" s="419">
        <v>0</v>
      </c>
      <c r="D19" s="419">
        <v>0</v>
      </c>
      <c r="E19" s="429"/>
    </row>
    <row r="20" spans="1:5" s="424" customFormat="1" ht="33.950000000000003" customHeight="1">
      <c r="A20" s="417">
        <f t="shared" si="1"/>
        <v>7</v>
      </c>
      <c r="B20" s="418" t="s">
        <v>1092</v>
      </c>
      <c r="C20" s="419">
        <f>C21+C22+C23+C32+C33</f>
        <v>109175</v>
      </c>
      <c r="D20" s="419">
        <f>D21+D22+D23+D32+D33</f>
        <v>123608</v>
      </c>
      <c r="E20" s="419">
        <f>E21+E22+E23+E32+E33</f>
        <v>727.71203678989446</v>
      </c>
    </row>
    <row r="21" spans="1:5" s="424" customFormat="1" ht="33.950000000000003" hidden="1" customHeight="1" outlineLevel="1">
      <c r="A21" s="420" t="s">
        <v>19</v>
      </c>
      <c r="B21" s="421" t="s">
        <v>1093</v>
      </c>
      <c r="C21" s="434">
        <v>5502</v>
      </c>
      <c r="D21" s="435">
        <v>5502</v>
      </c>
      <c r="E21" s="436">
        <f t="shared" si="0"/>
        <v>100</v>
      </c>
    </row>
    <row r="22" spans="1:5" s="424" customFormat="1" ht="33.950000000000003" hidden="1" customHeight="1" outlineLevel="1">
      <c r="A22" s="420" t="s">
        <v>19</v>
      </c>
      <c r="B22" s="421" t="s">
        <v>1094</v>
      </c>
      <c r="C22" s="434">
        <v>4537</v>
      </c>
      <c r="D22" s="435">
        <v>7546</v>
      </c>
      <c r="E22" s="436">
        <f t="shared" si="0"/>
        <v>166.32135772536918</v>
      </c>
    </row>
    <row r="23" spans="1:5" s="424" customFormat="1" ht="33.950000000000003" hidden="1" customHeight="1" outlineLevel="1">
      <c r="A23" s="426" t="s">
        <v>19</v>
      </c>
      <c r="B23" s="418" t="s">
        <v>916</v>
      </c>
      <c r="C23" s="434">
        <f>SUM(C24:C31)</f>
        <v>86904</v>
      </c>
      <c r="D23" s="434">
        <f>SUM(D24:D31)</f>
        <v>86904</v>
      </c>
      <c r="E23" s="436">
        <f t="shared" si="0"/>
        <v>100</v>
      </c>
    </row>
    <row r="24" spans="1:5" s="424" customFormat="1" ht="33.950000000000003" hidden="1" customHeight="1" outlineLevel="1">
      <c r="A24" s="426" t="s">
        <v>432</v>
      </c>
      <c r="B24" s="418" t="s">
        <v>1095</v>
      </c>
      <c r="C24" s="434">
        <v>17251</v>
      </c>
      <c r="D24" s="434">
        <v>17251</v>
      </c>
      <c r="E24" s="436">
        <f t="shared" si="0"/>
        <v>100</v>
      </c>
    </row>
    <row r="25" spans="1:5" s="424" customFormat="1" ht="33.950000000000003" hidden="1" customHeight="1" outlineLevel="1">
      <c r="A25" s="417" t="s">
        <v>432</v>
      </c>
      <c r="B25" s="418" t="s">
        <v>1096</v>
      </c>
      <c r="C25" s="419">
        <v>10786</v>
      </c>
      <c r="D25" s="419">
        <v>10786</v>
      </c>
      <c r="E25" s="429">
        <f t="shared" si="0"/>
        <v>100</v>
      </c>
    </row>
    <row r="26" spans="1:5" s="424" customFormat="1" ht="33.950000000000003" hidden="1" customHeight="1" outlineLevel="1">
      <c r="A26" s="417" t="s">
        <v>432</v>
      </c>
      <c r="B26" s="418" t="s">
        <v>1097</v>
      </c>
      <c r="C26" s="419">
        <v>7532</v>
      </c>
      <c r="D26" s="419">
        <v>7532</v>
      </c>
      <c r="E26" s="429">
        <f t="shared" si="0"/>
        <v>100</v>
      </c>
    </row>
    <row r="27" spans="1:5" s="424" customFormat="1" ht="33.950000000000003" hidden="1" customHeight="1" outlineLevel="1">
      <c r="A27" s="417" t="s">
        <v>432</v>
      </c>
      <c r="B27" s="418" t="s">
        <v>1098</v>
      </c>
      <c r="C27" s="419">
        <v>498</v>
      </c>
      <c r="D27" s="419">
        <v>498</v>
      </c>
      <c r="E27" s="429">
        <f t="shared" si="0"/>
        <v>100</v>
      </c>
    </row>
    <row r="28" spans="1:5" ht="33.950000000000003" hidden="1" customHeight="1" outlineLevel="1">
      <c r="A28" s="417" t="s">
        <v>432</v>
      </c>
      <c r="B28" s="418" t="s">
        <v>1099</v>
      </c>
      <c r="C28" s="419">
        <v>19456</v>
      </c>
      <c r="D28" s="419">
        <v>19456</v>
      </c>
      <c r="E28" s="429">
        <f t="shared" si="0"/>
        <v>100</v>
      </c>
    </row>
    <row r="29" spans="1:5" ht="33.950000000000003" hidden="1" customHeight="1" outlineLevel="1">
      <c r="A29" s="420" t="s">
        <v>432</v>
      </c>
      <c r="B29" s="421" t="s">
        <v>1100</v>
      </c>
      <c r="C29" s="434">
        <v>14766</v>
      </c>
      <c r="D29" s="434">
        <v>14766</v>
      </c>
      <c r="E29" s="436">
        <f t="shared" si="0"/>
        <v>100</v>
      </c>
    </row>
    <row r="30" spans="1:5" s="437" customFormat="1" ht="33.950000000000003" hidden="1" customHeight="1" outlineLevel="1">
      <c r="A30" s="420" t="s">
        <v>432</v>
      </c>
      <c r="B30" s="421" t="s">
        <v>1101</v>
      </c>
      <c r="C30" s="434">
        <v>16615</v>
      </c>
      <c r="D30" s="434">
        <v>16615</v>
      </c>
      <c r="E30" s="436">
        <f t="shared" si="0"/>
        <v>100</v>
      </c>
    </row>
    <row r="31" spans="1:5" ht="33.950000000000003" hidden="1" customHeight="1" outlineLevel="1">
      <c r="A31" s="426" t="s">
        <v>432</v>
      </c>
      <c r="B31" s="418" t="s">
        <v>850</v>
      </c>
      <c r="C31" s="434">
        <v>0</v>
      </c>
      <c r="D31" s="435">
        <v>0</v>
      </c>
      <c r="E31" s="436"/>
    </row>
    <row r="32" spans="1:5" ht="33.950000000000003" hidden="1" customHeight="1" outlineLevel="1">
      <c r="A32" s="426" t="s">
        <v>19</v>
      </c>
      <c r="B32" s="418" t="s">
        <v>1102</v>
      </c>
      <c r="C32" s="434">
        <v>4732</v>
      </c>
      <c r="D32" s="435">
        <v>5895</v>
      </c>
      <c r="E32" s="436">
        <f t="shared" si="0"/>
        <v>124.57734573119188</v>
      </c>
    </row>
    <row r="33" spans="1:5" ht="33.950000000000003" hidden="1" customHeight="1" outlineLevel="1">
      <c r="A33" s="417" t="s">
        <v>19</v>
      </c>
      <c r="B33" s="418" t="s">
        <v>270</v>
      </c>
      <c r="C33" s="419">
        <f>C34</f>
        <v>7500</v>
      </c>
      <c r="D33" s="419">
        <f>D34</f>
        <v>17761</v>
      </c>
      <c r="E33" s="429">
        <f>E34</f>
        <v>236.81333333333333</v>
      </c>
    </row>
    <row r="34" spans="1:5" ht="33.950000000000003" hidden="1" customHeight="1" outlineLevel="1">
      <c r="A34" s="438" t="s">
        <v>432</v>
      </c>
      <c r="B34" s="439" t="s">
        <v>1103</v>
      </c>
      <c r="C34" s="440">
        <v>7500</v>
      </c>
      <c r="D34" s="440">
        <v>17761</v>
      </c>
      <c r="E34" s="428">
        <f t="shared" si="0"/>
        <v>236.81333333333333</v>
      </c>
    </row>
    <row r="35" spans="1:5" ht="33.950000000000003" customHeight="1" collapsed="1">
      <c r="A35" s="417">
        <v>8</v>
      </c>
      <c r="B35" s="418" t="s">
        <v>1104</v>
      </c>
      <c r="C35" s="419">
        <f>C36+C37+C38</f>
        <v>4750</v>
      </c>
      <c r="D35" s="419">
        <f>D36+D37+D38</f>
        <v>4477</v>
      </c>
      <c r="E35" s="419">
        <f>E36+E37+E38</f>
        <v>296.24789097988321</v>
      </c>
    </row>
    <row r="36" spans="1:5" ht="33.950000000000003" hidden="1" customHeight="1" outlineLevel="1">
      <c r="A36" s="426" t="s">
        <v>19</v>
      </c>
      <c r="B36" s="441" t="s">
        <v>1105</v>
      </c>
      <c r="C36" s="427">
        <v>3350</v>
      </c>
      <c r="D36" s="427">
        <v>3000</v>
      </c>
      <c r="E36" s="429">
        <f t="shared" si="0"/>
        <v>89.552238805970148</v>
      </c>
    </row>
    <row r="37" spans="1:5" ht="33.950000000000003" hidden="1" customHeight="1" outlineLevel="1">
      <c r="A37" s="438" t="s">
        <v>19</v>
      </c>
      <c r="B37" s="439" t="s">
        <v>1106</v>
      </c>
      <c r="C37" s="440">
        <v>1150</v>
      </c>
      <c r="D37" s="440">
        <v>1227</v>
      </c>
      <c r="E37" s="429">
        <f t="shared" si="0"/>
        <v>106.69565217391303</v>
      </c>
    </row>
    <row r="38" spans="1:5" ht="33.950000000000003" hidden="1" customHeight="1" outlineLevel="1">
      <c r="A38" s="438" t="s">
        <v>19</v>
      </c>
      <c r="B38" s="439" t="s">
        <v>1107</v>
      </c>
      <c r="C38" s="440">
        <v>250</v>
      </c>
      <c r="D38" s="440">
        <v>250</v>
      </c>
      <c r="E38" s="429">
        <f t="shared" si="0"/>
        <v>100</v>
      </c>
    </row>
    <row r="39" spans="1:5" ht="33.950000000000003" customHeight="1" collapsed="1">
      <c r="A39" s="417">
        <v>9</v>
      </c>
      <c r="B39" s="418" t="s">
        <v>1108</v>
      </c>
      <c r="C39" s="419">
        <f>C40</f>
        <v>3600</v>
      </c>
      <c r="D39" s="419">
        <f>D40</f>
        <v>3600</v>
      </c>
      <c r="E39" s="419">
        <f>E40</f>
        <v>100</v>
      </c>
    </row>
    <row r="40" spans="1:5" ht="33.950000000000003" hidden="1" customHeight="1" outlineLevel="1">
      <c r="A40" s="417" t="s">
        <v>19</v>
      </c>
      <c r="B40" s="418" t="s">
        <v>1109</v>
      </c>
      <c r="C40" s="419">
        <v>3600</v>
      </c>
      <c r="D40" s="419">
        <v>3600</v>
      </c>
      <c r="E40" s="419">
        <f t="shared" si="0"/>
        <v>100</v>
      </c>
    </row>
    <row r="41" spans="1:5" ht="33.950000000000003" customHeight="1" collapsed="1">
      <c r="A41" s="442"/>
      <c r="B41" s="443"/>
      <c r="C41" s="444"/>
      <c r="D41" s="444"/>
      <c r="E41" s="444"/>
    </row>
  </sheetData>
  <mergeCells count="2">
    <mergeCell ref="A2:E2"/>
    <mergeCell ref="A3:E3"/>
  </mergeCells>
  <printOptions horizontalCentered="1"/>
  <pageMargins left="0.15748031496063" right="0.27559055118110198" top="0.73" bottom="0.61" header="0.44" footer="0.44"/>
  <pageSetup paperSize="9" scale="78" orientation="portrait" r:id="rId1"/>
  <headerFooter alignWithMargins="0">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55"/>
  <sheetViews>
    <sheetView showZeros="0" zoomScale="80" zoomScaleNormal="80" zoomScalePageLayoutView="90" workbookViewId="0">
      <pane xSplit="2" ySplit="8" topLeftCell="C9" activePane="bottomRight" state="frozen"/>
      <selection pane="topRight" activeCell="C1" sqref="C1"/>
      <selection pane="bottomLeft" activeCell="A9" sqref="A9"/>
      <selection pane="bottomRight" activeCell="E14" sqref="E14"/>
    </sheetView>
  </sheetViews>
  <sheetFormatPr defaultRowHeight="15.75" outlineLevelRow="1"/>
  <cols>
    <col min="1" max="1" width="5.85546875" style="716" customWidth="1"/>
    <col min="2" max="2" width="71.42578125" style="716" customWidth="1"/>
    <col min="3" max="3" width="14.42578125" style="716" customWidth="1"/>
    <col min="4" max="5" width="14.7109375" style="716" customWidth="1"/>
    <col min="6" max="7" width="13.5703125" style="716" customWidth="1"/>
    <col min="8" max="8" width="13.28515625" style="716" customWidth="1"/>
    <col min="9" max="256" width="9.140625" style="716"/>
    <col min="257" max="257" width="5.85546875" style="716" customWidth="1"/>
    <col min="258" max="258" width="71.42578125" style="716" customWidth="1"/>
    <col min="259" max="259" width="14.42578125" style="716" customWidth="1"/>
    <col min="260" max="261" width="14.7109375" style="716" customWidth="1"/>
    <col min="262" max="263" width="13.5703125" style="716" customWidth="1"/>
    <col min="264" max="264" width="13.28515625" style="716" customWidth="1"/>
    <col min="265" max="512" width="9.140625" style="716"/>
    <col min="513" max="513" width="5.85546875" style="716" customWidth="1"/>
    <col min="514" max="514" width="71.42578125" style="716" customWidth="1"/>
    <col min="515" max="515" width="14.42578125" style="716" customWidth="1"/>
    <col min="516" max="517" width="14.7109375" style="716" customWidth="1"/>
    <col min="518" max="519" width="13.5703125" style="716" customWidth="1"/>
    <col min="520" max="520" width="13.28515625" style="716" customWidth="1"/>
    <col min="521" max="768" width="9.140625" style="716"/>
    <col min="769" max="769" width="5.85546875" style="716" customWidth="1"/>
    <col min="770" max="770" width="71.42578125" style="716" customWidth="1"/>
    <col min="771" max="771" width="14.42578125" style="716" customWidth="1"/>
    <col min="772" max="773" width="14.7109375" style="716" customWidth="1"/>
    <col min="774" max="775" width="13.5703125" style="716" customWidth="1"/>
    <col min="776" max="776" width="13.28515625" style="716" customWidth="1"/>
    <col min="777" max="1024" width="9.140625" style="716"/>
    <col min="1025" max="1025" width="5.85546875" style="716" customWidth="1"/>
    <col min="1026" max="1026" width="71.42578125" style="716" customWidth="1"/>
    <col min="1027" max="1027" width="14.42578125" style="716" customWidth="1"/>
    <col min="1028" max="1029" width="14.7109375" style="716" customWidth="1"/>
    <col min="1030" max="1031" width="13.5703125" style="716" customWidth="1"/>
    <col min="1032" max="1032" width="13.28515625" style="716" customWidth="1"/>
    <col min="1033" max="1280" width="9.140625" style="716"/>
    <col min="1281" max="1281" width="5.85546875" style="716" customWidth="1"/>
    <col min="1282" max="1282" width="71.42578125" style="716" customWidth="1"/>
    <col min="1283" max="1283" width="14.42578125" style="716" customWidth="1"/>
    <col min="1284" max="1285" width="14.7109375" style="716" customWidth="1"/>
    <col min="1286" max="1287" width="13.5703125" style="716" customWidth="1"/>
    <col min="1288" max="1288" width="13.28515625" style="716" customWidth="1"/>
    <col min="1289" max="1536" width="9.140625" style="716"/>
    <col min="1537" max="1537" width="5.85546875" style="716" customWidth="1"/>
    <col min="1538" max="1538" width="71.42578125" style="716" customWidth="1"/>
    <col min="1539" max="1539" width="14.42578125" style="716" customWidth="1"/>
    <col min="1540" max="1541" width="14.7109375" style="716" customWidth="1"/>
    <col min="1542" max="1543" width="13.5703125" style="716" customWidth="1"/>
    <col min="1544" max="1544" width="13.28515625" style="716" customWidth="1"/>
    <col min="1545" max="1792" width="9.140625" style="716"/>
    <col min="1793" max="1793" width="5.85546875" style="716" customWidth="1"/>
    <col min="1794" max="1794" width="71.42578125" style="716" customWidth="1"/>
    <col min="1795" max="1795" width="14.42578125" style="716" customWidth="1"/>
    <col min="1796" max="1797" width="14.7109375" style="716" customWidth="1"/>
    <col min="1798" max="1799" width="13.5703125" style="716" customWidth="1"/>
    <col min="1800" max="1800" width="13.28515625" style="716" customWidth="1"/>
    <col min="1801" max="2048" width="9.140625" style="716"/>
    <col min="2049" max="2049" width="5.85546875" style="716" customWidth="1"/>
    <col min="2050" max="2050" width="71.42578125" style="716" customWidth="1"/>
    <col min="2051" max="2051" width="14.42578125" style="716" customWidth="1"/>
    <col min="2052" max="2053" width="14.7109375" style="716" customWidth="1"/>
    <col min="2054" max="2055" width="13.5703125" style="716" customWidth="1"/>
    <col min="2056" max="2056" width="13.28515625" style="716" customWidth="1"/>
    <col min="2057" max="2304" width="9.140625" style="716"/>
    <col min="2305" max="2305" width="5.85546875" style="716" customWidth="1"/>
    <col min="2306" max="2306" width="71.42578125" style="716" customWidth="1"/>
    <col min="2307" max="2307" width="14.42578125" style="716" customWidth="1"/>
    <col min="2308" max="2309" width="14.7109375" style="716" customWidth="1"/>
    <col min="2310" max="2311" width="13.5703125" style="716" customWidth="1"/>
    <col min="2312" max="2312" width="13.28515625" style="716" customWidth="1"/>
    <col min="2313" max="2560" width="9.140625" style="716"/>
    <col min="2561" max="2561" width="5.85546875" style="716" customWidth="1"/>
    <col min="2562" max="2562" width="71.42578125" style="716" customWidth="1"/>
    <col min="2563" max="2563" width="14.42578125" style="716" customWidth="1"/>
    <col min="2564" max="2565" width="14.7109375" style="716" customWidth="1"/>
    <col min="2566" max="2567" width="13.5703125" style="716" customWidth="1"/>
    <col min="2568" max="2568" width="13.28515625" style="716" customWidth="1"/>
    <col min="2569" max="2816" width="9.140625" style="716"/>
    <col min="2817" max="2817" width="5.85546875" style="716" customWidth="1"/>
    <col min="2818" max="2818" width="71.42578125" style="716" customWidth="1"/>
    <col min="2819" max="2819" width="14.42578125" style="716" customWidth="1"/>
    <col min="2820" max="2821" width="14.7109375" style="716" customWidth="1"/>
    <col min="2822" max="2823" width="13.5703125" style="716" customWidth="1"/>
    <col min="2824" max="2824" width="13.28515625" style="716" customWidth="1"/>
    <col min="2825" max="3072" width="9.140625" style="716"/>
    <col min="3073" max="3073" width="5.85546875" style="716" customWidth="1"/>
    <col min="3074" max="3074" width="71.42578125" style="716" customWidth="1"/>
    <col min="3075" max="3075" width="14.42578125" style="716" customWidth="1"/>
    <col min="3076" max="3077" width="14.7109375" style="716" customWidth="1"/>
    <col min="3078" max="3079" width="13.5703125" style="716" customWidth="1"/>
    <col min="3080" max="3080" width="13.28515625" style="716" customWidth="1"/>
    <col min="3081" max="3328" width="9.140625" style="716"/>
    <col min="3329" max="3329" width="5.85546875" style="716" customWidth="1"/>
    <col min="3330" max="3330" width="71.42578125" style="716" customWidth="1"/>
    <col min="3331" max="3331" width="14.42578125" style="716" customWidth="1"/>
    <col min="3332" max="3333" width="14.7109375" style="716" customWidth="1"/>
    <col min="3334" max="3335" width="13.5703125" style="716" customWidth="1"/>
    <col min="3336" max="3336" width="13.28515625" style="716" customWidth="1"/>
    <col min="3337" max="3584" width="9.140625" style="716"/>
    <col min="3585" max="3585" width="5.85546875" style="716" customWidth="1"/>
    <col min="3586" max="3586" width="71.42578125" style="716" customWidth="1"/>
    <col min="3587" max="3587" width="14.42578125" style="716" customWidth="1"/>
    <col min="3588" max="3589" width="14.7109375" style="716" customWidth="1"/>
    <col min="3590" max="3591" width="13.5703125" style="716" customWidth="1"/>
    <col min="3592" max="3592" width="13.28515625" style="716" customWidth="1"/>
    <col min="3593" max="3840" width="9.140625" style="716"/>
    <col min="3841" max="3841" width="5.85546875" style="716" customWidth="1"/>
    <col min="3842" max="3842" width="71.42578125" style="716" customWidth="1"/>
    <col min="3843" max="3843" width="14.42578125" style="716" customWidth="1"/>
    <col min="3844" max="3845" width="14.7109375" style="716" customWidth="1"/>
    <col min="3846" max="3847" width="13.5703125" style="716" customWidth="1"/>
    <col min="3848" max="3848" width="13.28515625" style="716" customWidth="1"/>
    <col min="3849" max="4096" width="9.140625" style="716"/>
    <col min="4097" max="4097" width="5.85546875" style="716" customWidth="1"/>
    <col min="4098" max="4098" width="71.42578125" style="716" customWidth="1"/>
    <col min="4099" max="4099" width="14.42578125" style="716" customWidth="1"/>
    <col min="4100" max="4101" width="14.7109375" style="716" customWidth="1"/>
    <col min="4102" max="4103" width="13.5703125" style="716" customWidth="1"/>
    <col min="4104" max="4104" width="13.28515625" style="716" customWidth="1"/>
    <col min="4105" max="4352" width="9.140625" style="716"/>
    <col min="4353" max="4353" width="5.85546875" style="716" customWidth="1"/>
    <col min="4354" max="4354" width="71.42578125" style="716" customWidth="1"/>
    <col min="4355" max="4355" width="14.42578125" style="716" customWidth="1"/>
    <col min="4356" max="4357" width="14.7109375" style="716" customWidth="1"/>
    <col min="4358" max="4359" width="13.5703125" style="716" customWidth="1"/>
    <col min="4360" max="4360" width="13.28515625" style="716" customWidth="1"/>
    <col min="4361" max="4608" width="9.140625" style="716"/>
    <col min="4609" max="4609" width="5.85546875" style="716" customWidth="1"/>
    <col min="4610" max="4610" width="71.42578125" style="716" customWidth="1"/>
    <col min="4611" max="4611" width="14.42578125" style="716" customWidth="1"/>
    <col min="4612" max="4613" width="14.7109375" style="716" customWidth="1"/>
    <col min="4614" max="4615" width="13.5703125" style="716" customWidth="1"/>
    <col min="4616" max="4616" width="13.28515625" style="716" customWidth="1"/>
    <col min="4617" max="4864" width="9.140625" style="716"/>
    <col min="4865" max="4865" width="5.85546875" style="716" customWidth="1"/>
    <col min="4866" max="4866" width="71.42578125" style="716" customWidth="1"/>
    <col min="4867" max="4867" width="14.42578125" style="716" customWidth="1"/>
    <col min="4868" max="4869" width="14.7109375" style="716" customWidth="1"/>
    <col min="4870" max="4871" width="13.5703125" style="716" customWidth="1"/>
    <col min="4872" max="4872" width="13.28515625" style="716" customWidth="1"/>
    <col min="4873" max="5120" width="9.140625" style="716"/>
    <col min="5121" max="5121" width="5.85546875" style="716" customWidth="1"/>
    <col min="5122" max="5122" width="71.42578125" style="716" customWidth="1"/>
    <col min="5123" max="5123" width="14.42578125" style="716" customWidth="1"/>
    <col min="5124" max="5125" width="14.7109375" style="716" customWidth="1"/>
    <col min="5126" max="5127" width="13.5703125" style="716" customWidth="1"/>
    <col min="5128" max="5128" width="13.28515625" style="716" customWidth="1"/>
    <col min="5129" max="5376" width="9.140625" style="716"/>
    <col min="5377" max="5377" width="5.85546875" style="716" customWidth="1"/>
    <col min="5378" max="5378" width="71.42578125" style="716" customWidth="1"/>
    <col min="5379" max="5379" width="14.42578125" style="716" customWidth="1"/>
    <col min="5380" max="5381" width="14.7109375" style="716" customWidth="1"/>
    <col min="5382" max="5383" width="13.5703125" style="716" customWidth="1"/>
    <col min="5384" max="5384" width="13.28515625" style="716" customWidth="1"/>
    <col min="5385" max="5632" width="9.140625" style="716"/>
    <col min="5633" max="5633" width="5.85546875" style="716" customWidth="1"/>
    <col min="5634" max="5634" width="71.42578125" style="716" customWidth="1"/>
    <col min="5635" max="5635" width="14.42578125" style="716" customWidth="1"/>
    <col min="5636" max="5637" width="14.7109375" style="716" customWidth="1"/>
    <col min="5638" max="5639" width="13.5703125" style="716" customWidth="1"/>
    <col min="5640" max="5640" width="13.28515625" style="716" customWidth="1"/>
    <col min="5641" max="5888" width="9.140625" style="716"/>
    <col min="5889" max="5889" width="5.85546875" style="716" customWidth="1"/>
    <col min="5890" max="5890" width="71.42578125" style="716" customWidth="1"/>
    <col min="5891" max="5891" width="14.42578125" style="716" customWidth="1"/>
    <col min="5892" max="5893" width="14.7109375" style="716" customWidth="1"/>
    <col min="5894" max="5895" width="13.5703125" style="716" customWidth="1"/>
    <col min="5896" max="5896" width="13.28515625" style="716" customWidth="1"/>
    <col min="5897" max="6144" width="9.140625" style="716"/>
    <col min="6145" max="6145" width="5.85546875" style="716" customWidth="1"/>
    <col min="6146" max="6146" width="71.42578125" style="716" customWidth="1"/>
    <col min="6147" max="6147" width="14.42578125" style="716" customWidth="1"/>
    <col min="6148" max="6149" width="14.7109375" style="716" customWidth="1"/>
    <col min="6150" max="6151" width="13.5703125" style="716" customWidth="1"/>
    <col min="6152" max="6152" width="13.28515625" style="716" customWidth="1"/>
    <col min="6153" max="6400" width="9.140625" style="716"/>
    <col min="6401" max="6401" width="5.85546875" style="716" customWidth="1"/>
    <col min="6402" max="6402" width="71.42578125" style="716" customWidth="1"/>
    <col min="6403" max="6403" width="14.42578125" style="716" customWidth="1"/>
    <col min="6404" max="6405" width="14.7109375" style="716" customWidth="1"/>
    <col min="6406" max="6407" width="13.5703125" style="716" customWidth="1"/>
    <col min="6408" max="6408" width="13.28515625" style="716" customWidth="1"/>
    <col min="6409" max="6656" width="9.140625" style="716"/>
    <col min="6657" max="6657" width="5.85546875" style="716" customWidth="1"/>
    <col min="6658" max="6658" width="71.42578125" style="716" customWidth="1"/>
    <col min="6659" max="6659" width="14.42578125" style="716" customWidth="1"/>
    <col min="6660" max="6661" width="14.7109375" style="716" customWidth="1"/>
    <col min="6662" max="6663" width="13.5703125" style="716" customWidth="1"/>
    <col min="6664" max="6664" width="13.28515625" style="716" customWidth="1"/>
    <col min="6665" max="6912" width="9.140625" style="716"/>
    <col min="6913" max="6913" width="5.85546875" style="716" customWidth="1"/>
    <col min="6914" max="6914" width="71.42578125" style="716" customWidth="1"/>
    <col min="6915" max="6915" width="14.42578125" style="716" customWidth="1"/>
    <col min="6916" max="6917" width="14.7109375" style="716" customWidth="1"/>
    <col min="6918" max="6919" width="13.5703125" style="716" customWidth="1"/>
    <col min="6920" max="6920" width="13.28515625" style="716" customWidth="1"/>
    <col min="6921" max="7168" width="9.140625" style="716"/>
    <col min="7169" max="7169" width="5.85546875" style="716" customWidth="1"/>
    <col min="7170" max="7170" width="71.42578125" style="716" customWidth="1"/>
    <col min="7171" max="7171" width="14.42578125" style="716" customWidth="1"/>
    <col min="7172" max="7173" width="14.7109375" style="716" customWidth="1"/>
    <col min="7174" max="7175" width="13.5703125" style="716" customWidth="1"/>
    <col min="7176" max="7176" width="13.28515625" style="716" customWidth="1"/>
    <col min="7177" max="7424" width="9.140625" style="716"/>
    <col min="7425" max="7425" width="5.85546875" style="716" customWidth="1"/>
    <col min="7426" max="7426" width="71.42578125" style="716" customWidth="1"/>
    <col min="7427" max="7427" width="14.42578125" style="716" customWidth="1"/>
    <col min="7428" max="7429" width="14.7109375" style="716" customWidth="1"/>
    <col min="7430" max="7431" width="13.5703125" style="716" customWidth="1"/>
    <col min="7432" max="7432" width="13.28515625" style="716" customWidth="1"/>
    <col min="7433" max="7680" width="9.140625" style="716"/>
    <col min="7681" max="7681" width="5.85546875" style="716" customWidth="1"/>
    <col min="7682" max="7682" width="71.42578125" style="716" customWidth="1"/>
    <col min="7683" max="7683" width="14.42578125" style="716" customWidth="1"/>
    <col min="7684" max="7685" width="14.7109375" style="716" customWidth="1"/>
    <col min="7686" max="7687" width="13.5703125" style="716" customWidth="1"/>
    <col min="7688" max="7688" width="13.28515625" style="716" customWidth="1"/>
    <col min="7689" max="7936" width="9.140625" style="716"/>
    <col min="7937" max="7937" width="5.85546875" style="716" customWidth="1"/>
    <col min="7938" max="7938" width="71.42578125" style="716" customWidth="1"/>
    <col min="7939" max="7939" width="14.42578125" style="716" customWidth="1"/>
    <col min="7940" max="7941" width="14.7109375" style="716" customWidth="1"/>
    <col min="7942" max="7943" width="13.5703125" style="716" customWidth="1"/>
    <col min="7944" max="7944" width="13.28515625" style="716" customWidth="1"/>
    <col min="7945" max="8192" width="9.140625" style="716"/>
    <col min="8193" max="8193" width="5.85546875" style="716" customWidth="1"/>
    <col min="8194" max="8194" width="71.42578125" style="716" customWidth="1"/>
    <col min="8195" max="8195" width="14.42578125" style="716" customWidth="1"/>
    <col min="8196" max="8197" width="14.7109375" style="716" customWidth="1"/>
    <col min="8198" max="8199" width="13.5703125" style="716" customWidth="1"/>
    <col min="8200" max="8200" width="13.28515625" style="716" customWidth="1"/>
    <col min="8201" max="8448" width="9.140625" style="716"/>
    <col min="8449" max="8449" width="5.85546875" style="716" customWidth="1"/>
    <col min="8450" max="8450" width="71.42578125" style="716" customWidth="1"/>
    <col min="8451" max="8451" width="14.42578125" style="716" customWidth="1"/>
    <col min="8452" max="8453" width="14.7109375" style="716" customWidth="1"/>
    <col min="8454" max="8455" width="13.5703125" style="716" customWidth="1"/>
    <col min="8456" max="8456" width="13.28515625" style="716" customWidth="1"/>
    <col min="8457" max="8704" width="9.140625" style="716"/>
    <col min="8705" max="8705" width="5.85546875" style="716" customWidth="1"/>
    <col min="8706" max="8706" width="71.42578125" style="716" customWidth="1"/>
    <col min="8707" max="8707" width="14.42578125" style="716" customWidth="1"/>
    <col min="8708" max="8709" width="14.7109375" style="716" customWidth="1"/>
    <col min="8710" max="8711" width="13.5703125" style="716" customWidth="1"/>
    <col min="8712" max="8712" width="13.28515625" style="716" customWidth="1"/>
    <col min="8713" max="8960" width="9.140625" style="716"/>
    <col min="8961" max="8961" width="5.85546875" style="716" customWidth="1"/>
    <col min="8962" max="8962" width="71.42578125" style="716" customWidth="1"/>
    <col min="8963" max="8963" width="14.42578125" style="716" customWidth="1"/>
    <col min="8964" max="8965" width="14.7109375" style="716" customWidth="1"/>
    <col min="8966" max="8967" width="13.5703125" style="716" customWidth="1"/>
    <col min="8968" max="8968" width="13.28515625" style="716" customWidth="1"/>
    <col min="8969" max="9216" width="9.140625" style="716"/>
    <col min="9217" max="9217" width="5.85546875" style="716" customWidth="1"/>
    <col min="9218" max="9218" width="71.42578125" style="716" customWidth="1"/>
    <col min="9219" max="9219" width="14.42578125" style="716" customWidth="1"/>
    <col min="9220" max="9221" width="14.7109375" style="716" customWidth="1"/>
    <col min="9222" max="9223" width="13.5703125" style="716" customWidth="1"/>
    <col min="9224" max="9224" width="13.28515625" style="716" customWidth="1"/>
    <col min="9225" max="9472" width="9.140625" style="716"/>
    <col min="9473" max="9473" width="5.85546875" style="716" customWidth="1"/>
    <col min="9474" max="9474" width="71.42578125" style="716" customWidth="1"/>
    <col min="9475" max="9475" width="14.42578125" style="716" customWidth="1"/>
    <col min="9476" max="9477" width="14.7109375" style="716" customWidth="1"/>
    <col min="9478" max="9479" width="13.5703125" style="716" customWidth="1"/>
    <col min="9480" max="9480" width="13.28515625" style="716" customWidth="1"/>
    <col min="9481" max="9728" width="9.140625" style="716"/>
    <col min="9729" max="9729" width="5.85546875" style="716" customWidth="1"/>
    <col min="9730" max="9730" width="71.42578125" style="716" customWidth="1"/>
    <col min="9731" max="9731" width="14.42578125" style="716" customWidth="1"/>
    <col min="9732" max="9733" width="14.7109375" style="716" customWidth="1"/>
    <col min="9734" max="9735" width="13.5703125" style="716" customWidth="1"/>
    <col min="9736" max="9736" width="13.28515625" style="716" customWidth="1"/>
    <col min="9737" max="9984" width="9.140625" style="716"/>
    <col min="9985" max="9985" width="5.85546875" style="716" customWidth="1"/>
    <col min="9986" max="9986" width="71.42578125" style="716" customWidth="1"/>
    <col min="9987" max="9987" width="14.42578125" style="716" customWidth="1"/>
    <col min="9988" max="9989" width="14.7109375" style="716" customWidth="1"/>
    <col min="9990" max="9991" width="13.5703125" style="716" customWidth="1"/>
    <col min="9992" max="9992" width="13.28515625" style="716" customWidth="1"/>
    <col min="9993" max="10240" width="9.140625" style="716"/>
    <col min="10241" max="10241" width="5.85546875" style="716" customWidth="1"/>
    <col min="10242" max="10242" width="71.42578125" style="716" customWidth="1"/>
    <col min="10243" max="10243" width="14.42578125" style="716" customWidth="1"/>
    <col min="10244" max="10245" width="14.7109375" style="716" customWidth="1"/>
    <col min="10246" max="10247" width="13.5703125" style="716" customWidth="1"/>
    <col min="10248" max="10248" width="13.28515625" style="716" customWidth="1"/>
    <col min="10249" max="10496" width="9.140625" style="716"/>
    <col min="10497" max="10497" width="5.85546875" style="716" customWidth="1"/>
    <col min="10498" max="10498" width="71.42578125" style="716" customWidth="1"/>
    <col min="10499" max="10499" width="14.42578125" style="716" customWidth="1"/>
    <col min="10500" max="10501" width="14.7109375" style="716" customWidth="1"/>
    <col min="10502" max="10503" width="13.5703125" style="716" customWidth="1"/>
    <col min="10504" max="10504" width="13.28515625" style="716" customWidth="1"/>
    <col min="10505" max="10752" width="9.140625" style="716"/>
    <col min="10753" max="10753" width="5.85546875" style="716" customWidth="1"/>
    <col min="10754" max="10754" width="71.42578125" style="716" customWidth="1"/>
    <col min="10755" max="10755" width="14.42578125" style="716" customWidth="1"/>
    <col min="10756" max="10757" width="14.7109375" style="716" customWidth="1"/>
    <col min="10758" max="10759" width="13.5703125" style="716" customWidth="1"/>
    <col min="10760" max="10760" width="13.28515625" style="716" customWidth="1"/>
    <col min="10761" max="11008" width="9.140625" style="716"/>
    <col min="11009" max="11009" width="5.85546875" style="716" customWidth="1"/>
    <col min="11010" max="11010" width="71.42578125" style="716" customWidth="1"/>
    <col min="11011" max="11011" width="14.42578125" style="716" customWidth="1"/>
    <col min="11012" max="11013" width="14.7109375" style="716" customWidth="1"/>
    <col min="11014" max="11015" width="13.5703125" style="716" customWidth="1"/>
    <col min="11016" max="11016" width="13.28515625" style="716" customWidth="1"/>
    <col min="11017" max="11264" width="9.140625" style="716"/>
    <col min="11265" max="11265" width="5.85546875" style="716" customWidth="1"/>
    <col min="11266" max="11266" width="71.42578125" style="716" customWidth="1"/>
    <col min="11267" max="11267" width="14.42578125" style="716" customWidth="1"/>
    <col min="11268" max="11269" width="14.7109375" style="716" customWidth="1"/>
    <col min="11270" max="11271" width="13.5703125" style="716" customWidth="1"/>
    <col min="11272" max="11272" width="13.28515625" style="716" customWidth="1"/>
    <col min="11273" max="11520" width="9.140625" style="716"/>
    <col min="11521" max="11521" width="5.85546875" style="716" customWidth="1"/>
    <col min="11522" max="11522" width="71.42578125" style="716" customWidth="1"/>
    <col min="11523" max="11523" width="14.42578125" style="716" customWidth="1"/>
    <col min="11524" max="11525" width="14.7109375" style="716" customWidth="1"/>
    <col min="11526" max="11527" width="13.5703125" style="716" customWidth="1"/>
    <col min="11528" max="11528" width="13.28515625" style="716" customWidth="1"/>
    <col min="11529" max="11776" width="9.140625" style="716"/>
    <col min="11777" max="11777" width="5.85546875" style="716" customWidth="1"/>
    <col min="11778" max="11778" width="71.42578125" style="716" customWidth="1"/>
    <col min="11779" max="11779" width="14.42578125" style="716" customWidth="1"/>
    <col min="11780" max="11781" width="14.7109375" style="716" customWidth="1"/>
    <col min="11782" max="11783" width="13.5703125" style="716" customWidth="1"/>
    <col min="11784" max="11784" width="13.28515625" style="716" customWidth="1"/>
    <col min="11785" max="12032" width="9.140625" style="716"/>
    <col min="12033" max="12033" width="5.85546875" style="716" customWidth="1"/>
    <col min="12034" max="12034" width="71.42578125" style="716" customWidth="1"/>
    <col min="12035" max="12035" width="14.42578125" style="716" customWidth="1"/>
    <col min="12036" max="12037" width="14.7109375" style="716" customWidth="1"/>
    <col min="12038" max="12039" width="13.5703125" style="716" customWidth="1"/>
    <col min="12040" max="12040" width="13.28515625" style="716" customWidth="1"/>
    <col min="12041" max="12288" width="9.140625" style="716"/>
    <col min="12289" max="12289" width="5.85546875" style="716" customWidth="1"/>
    <col min="12290" max="12290" width="71.42578125" style="716" customWidth="1"/>
    <col min="12291" max="12291" width="14.42578125" style="716" customWidth="1"/>
    <col min="12292" max="12293" width="14.7109375" style="716" customWidth="1"/>
    <col min="12294" max="12295" width="13.5703125" style="716" customWidth="1"/>
    <col min="12296" max="12296" width="13.28515625" style="716" customWidth="1"/>
    <col min="12297" max="12544" width="9.140625" style="716"/>
    <col min="12545" max="12545" width="5.85546875" style="716" customWidth="1"/>
    <col min="12546" max="12546" width="71.42578125" style="716" customWidth="1"/>
    <col min="12547" max="12547" width="14.42578125" style="716" customWidth="1"/>
    <col min="12548" max="12549" width="14.7109375" style="716" customWidth="1"/>
    <col min="12550" max="12551" width="13.5703125" style="716" customWidth="1"/>
    <col min="12552" max="12552" width="13.28515625" style="716" customWidth="1"/>
    <col min="12553" max="12800" width="9.140625" style="716"/>
    <col min="12801" max="12801" width="5.85546875" style="716" customWidth="1"/>
    <col min="12802" max="12802" width="71.42578125" style="716" customWidth="1"/>
    <col min="12803" max="12803" width="14.42578125" style="716" customWidth="1"/>
    <col min="12804" max="12805" width="14.7109375" style="716" customWidth="1"/>
    <col min="12806" max="12807" width="13.5703125" style="716" customWidth="1"/>
    <col min="12808" max="12808" width="13.28515625" style="716" customWidth="1"/>
    <col min="12809" max="13056" width="9.140625" style="716"/>
    <col min="13057" max="13057" width="5.85546875" style="716" customWidth="1"/>
    <col min="13058" max="13058" width="71.42578125" style="716" customWidth="1"/>
    <col min="13059" max="13059" width="14.42578125" style="716" customWidth="1"/>
    <col min="13060" max="13061" width="14.7109375" style="716" customWidth="1"/>
    <col min="13062" max="13063" width="13.5703125" style="716" customWidth="1"/>
    <col min="13064" max="13064" width="13.28515625" style="716" customWidth="1"/>
    <col min="13065" max="13312" width="9.140625" style="716"/>
    <col min="13313" max="13313" width="5.85546875" style="716" customWidth="1"/>
    <col min="13314" max="13314" width="71.42578125" style="716" customWidth="1"/>
    <col min="13315" max="13315" width="14.42578125" style="716" customWidth="1"/>
    <col min="13316" max="13317" width="14.7109375" style="716" customWidth="1"/>
    <col min="13318" max="13319" width="13.5703125" style="716" customWidth="1"/>
    <col min="13320" max="13320" width="13.28515625" style="716" customWidth="1"/>
    <col min="13321" max="13568" width="9.140625" style="716"/>
    <col min="13569" max="13569" width="5.85546875" style="716" customWidth="1"/>
    <col min="13570" max="13570" width="71.42578125" style="716" customWidth="1"/>
    <col min="13571" max="13571" width="14.42578125" style="716" customWidth="1"/>
    <col min="13572" max="13573" width="14.7109375" style="716" customWidth="1"/>
    <col min="13574" max="13575" width="13.5703125" style="716" customWidth="1"/>
    <col min="13576" max="13576" width="13.28515625" style="716" customWidth="1"/>
    <col min="13577" max="13824" width="9.140625" style="716"/>
    <col min="13825" max="13825" width="5.85546875" style="716" customWidth="1"/>
    <col min="13826" max="13826" width="71.42578125" style="716" customWidth="1"/>
    <col min="13827" max="13827" width="14.42578125" style="716" customWidth="1"/>
    <col min="13828" max="13829" width="14.7109375" style="716" customWidth="1"/>
    <col min="13830" max="13831" width="13.5703125" style="716" customWidth="1"/>
    <col min="13832" max="13832" width="13.28515625" style="716" customWidth="1"/>
    <col min="13833" max="14080" width="9.140625" style="716"/>
    <col min="14081" max="14081" width="5.85546875" style="716" customWidth="1"/>
    <col min="14082" max="14082" width="71.42578125" style="716" customWidth="1"/>
    <col min="14083" max="14083" width="14.42578125" style="716" customWidth="1"/>
    <col min="14084" max="14085" width="14.7109375" style="716" customWidth="1"/>
    <col min="14086" max="14087" width="13.5703125" style="716" customWidth="1"/>
    <col min="14088" max="14088" width="13.28515625" style="716" customWidth="1"/>
    <col min="14089" max="14336" width="9.140625" style="716"/>
    <col min="14337" max="14337" width="5.85546875" style="716" customWidth="1"/>
    <col min="14338" max="14338" width="71.42578125" style="716" customWidth="1"/>
    <col min="14339" max="14339" width="14.42578125" style="716" customWidth="1"/>
    <col min="14340" max="14341" width="14.7109375" style="716" customWidth="1"/>
    <col min="14342" max="14343" width="13.5703125" style="716" customWidth="1"/>
    <col min="14344" max="14344" width="13.28515625" style="716" customWidth="1"/>
    <col min="14345" max="14592" width="9.140625" style="716"/>
    <col min="14593" max="14593" width="5.85546875" style="716" customWidth="1"/>
    <col min="14594" max="14594" width="71.42578125" style="716" customWidth="1"/>
    <col min="14595" max="14595" width="14.42578125" style="716" customWidth="1"/>
    <col min="14596" max="14597" width="14.7109375" style="716" customWidth="1"/>
    <col min="14598" max="14599" width="13.5703125" style="716" customWidth="1"/>
    <col min="14600" max="14600" width="13.28515625" style="716" customWidth="1"/>
    <col min="14601" max="14848" width="9.140625" style="716"/>
    <col min="14849" max="14849" width="5.85546875" style="716" customWidth="1"/>
    <col min="14850" max="14850" width="71.42578125" style="716" customWidth="1"/>
    <col min="14851" max="14851" width="14.42578125" style="716" customWidth="1"/>
    <col min="14852" max="14853" width="14.7109375" style="716" customWidth="1"/>
    <col min="14854" max="14855" width="13.5703125" style="716" customWidth="1"/>
    <col min="14856" max="14856" width="13.28515625" style="716" customWidth="1"/>
    <col min="14857" max="15104" width="9.140625" style="716"/>
    <col min="15105" max="15105" width="5.85546875" style="716" customWidth="1"/>
    <col min="15106" max="15106" width="71.42578125" style="716" customWidth="1"/>
    <col min="15107" max="15107" width="14.42578125" style="716" customWidth="1"/>
    <col min="15108" max="15109" width="14.7109375" style="716" customWidth="1"/>
    <col min="15110" max="15111" width="13.5703125" style="716" customWidth="1"/>
    <col min="15112" max="15112" width="13.28515625" style="716" customWidth="1"/>
    <col min="15113" max="15360" width="9.140625" style="716"/>
    <col min="15361" max="15361" width="5.85546875" style="716" customWidth="1"/>
    <col min="15362" max="15362" width="71.42578125" style="716" customWidth="1"/>
    <col min="15363" max="15363" width="14.42578125" style="716" customWidth="1"/>
    <col min="15364" max="15365" width="14.7109375" style="716" customWidth="1"/>
    <col min="15366" max="15367" width="13.5703125" style="716" customWidth="1"/>
    <col min="15368" max="15368" width="13.28515625" style="716" customWidth="1"/>
    <col min="15369" max="15616" width="9.140625" style="716"/>
    <col min="15617" max="15617" width="5.85546875" style="716" customWidth="1"/>
    <col min="15618" max="15618" width="71.42578125" style="716" customWidth="1"/>
    <col min="15619" max="15619" width="14.42578125" style="716" customWidth="1"/>
    <col min="15620" max="15621" width="14.7109375" style="716" customWidth="1"/>
    <col min="15622" max="15623" width="13.5703125" style="716" customWidth="1"/>
    <col min="15624" max="15624" width="13.28515625" style="716" customWidth="1"/>
    <col min="15625" max="15872" width="9.140625" style="716"/>
    <col min="15873" max="15873" width="5.85546875" style="716" customWidth="1"/>
    <col min="15874" max="15874" width="71.42578125" style="716" customWidth="1"/>
    <col min="15875" max="15875" width="14.42578125" style="716" customWidth="1"/>
    <col min="15876" max="15877" width="14.7109375" style="716" customWidth="1"/>
    <col min="15878" max="15879" width="13.5703125" style="716" customWidth="1"/>
    <col min="15880" max="15880" width="13.28515625" style="716" customWidth="1"/>
    <col min="15881" max="16128" width="9.140625" style="716"/>
    <col min="16129" max="16129" width="5.85546875" style="716" customWidth="1"/>
    <col min="16130" max="16130" width="71.42578125" style="716" customWidth="1"/>
    <col min="16131" max="16131" width="14.42578125" style="716" customWidth="1"/>
    <col min="16132" max="16133" width="14.7109375" style="716" customWidth="1"/>
    <col min="16134" max="16135" width="13.5703125" style="716" customWidth="1"/>
    <col min="16136" max="16136" width="13.28515625" style="716" customWidth="1"/>
    <col min="16137" max="16384" width="9.140625" style="716"/>
  </cols>
  <sheetData>
    <row r="1" spans="1:8" ht="21" customHeight="1">
      <c r="A1" s="714"/>
      <c r="B1" s="714"/>
      <c r="C1" s="715"/>
      <c r="D1" s="715"/>
      <c r="E1" s="715"/>
      <c r="F1" s="1150" t="s">
        <v>1054</v>
      </c>
      <c r="G1" s="1150"/>
    </row>
    <row r="2" spans="1:8" ht="21" customHeight="1">
      <c r="A2" s="1151" t="s">
        <v>1062</v>
      </c>
      <c r="B2" s="1151"/>
      <c r="C2" s="1151"/>
      <c r="D2" s="1151"/>
      <c r="E2" s="1151"/>
      <c r="F2" s="1151"/>
      <c r="G2" s="1151"/>
    </row>
    <row r="3" spans="1:8" ht="21" customHeight="1">
      <c r="A3" s="1152" t="s">
        <v>1210</v>
      </c>
      <c r="B3" s="1152"/>
      <c r="C3" s="1152"/>
      <c r="D3" s="1152"/>
      <c r="E3" s="1152"/>
      <c r="F3" s="1152"/>
      <c r="G3" s="1152"/>
    </row>
    <row r="4" spans="1:8" ht="19.5" customHeight="1">
      <c r="A4" s="717"/>
      <c r="B4" s="718"/>
      <c r="C4" s="719"/>
      <c r="D4" s="719"/>
      <c r="E4" s="719"/>
      <c r="F4" s="1153" t="s">
        <v>2</v>
      </c>
      <c r="G4" s="1153"/>
    </row>
    <row r="5" spans="1:8" s="720" customFormat="1" ht="26.25" customHeight="1">
      <c r="A5" s="1154" t="s">
        <v>3</v>
      </c>
      <c r="B5" s="1155" t="s">
        <v>4</v>
      </c>
      <c r="C5" s="1154" t="s">
        <v>5</v>
      </c>
      <c r="D5" s="1154" t="s">
        <v>6</v>
      </c>
      <c r="E5" s="1154" t="s">
        <v>565</v>
      </c>
      <c r="F5" s="1155" t="s">
        <v>564</v>
      </c>
      <c r="G5" s="1155"/>
    </row>
    <row r="6" spans="1:8" s="720" customFormat="1" ht="26.25" customHeight="1">
      <c r="A6" s="1155"/>
      <c r="B6" s="1155"/>
      <c r="C6" s="1154"/>
      <c r="D6" s="1154"/>
      <c r="E6" s="1154"/>
      <c r="F6" s="1155" t="s">
        <v>8</v>
      </c>
      <c r="G6" s="1154" t="s">
        <v>1055</v>
      </c>
    </row>
    <row r="7" spans="1:8" s="720" customFormat="1" ht="26.25" customHeight="1">
      <c r="A7" s="1155"/>
      <c r="B7" s="1155"/>
      <c r="C7" s="1154"/>
      <c r="D7" s="1154"/>
      <c r="E7" s="1154"/>
      <c r="F7" s="1155"/>
      <c r="G7" s="1154"/>
    </row>
    <row r="8" spans="1:8" s="722" customFormat="1" ht="17.25" customHeight="1">
      <c r="A8" s="721" t="s">
        <v>10</v>
      </c>
      <c r="B8" s="721" t="s">
        <v>11</v>
      </c>
      <c r="C8" s="721">
        <v>1</v>
      </c>
      <c r="D8" s="721">
        <f>C8+1</f>
        <v>2</v>
      </c>
      <c r="E8" s="721">
        <f>D8+1</f>
        <v>3</v>
      </c>
      <c r="F8" s="721">
        <f>E8+1</f>
        <v>4</v>
      </c>
      <c r="G8" s="721">
        <f>F8+1</f>
        <v>5</v>
      </c>
    </row>
    <row r="9" spans="1:8" s="719" customFormat="1" ht="23.25" customHeight="1">
      <c r="A9" s="723" t="s">
        <v>10</v>
      </c>
      <c r="B9" s="724" t="s">
        <v>1056</v>
      </c>
      <c r="C9" s="725"/>
      <c r="D9" s="725"/>
      <c r="E9" s="725"/>
      <c r="F9" s="725"/>
      <c r="G9" s="725"/>
    </row>
    <row r="10" spans="1:8" s="719" customFormat="1" ht="23.25" customHeight="1">
      <c r="A10" s="726" t="s">
        <v>15</v>
      </c>
      <c r="B10" s="727" t="s">
        <v>16</v>
      </c>
      <c r="C10" s="728">
        <f>C11+C12+C16+C17+C18</f>
        <v>9077084</v>
      </c>
      <c r="D10" s="728">
        <f>D11+D12+D16+D17+D18</f>
        <v>14942719.92888</v>
      </c>
      <c r="E10" s="728">
        <f>E11+E12+E16+E17+E18+E15</f>
        <v>10213100</v>
      </c>
      <c r="F10" s="728">
        <f>E10-D10</f>
        <v>-4729619.9288800005</v>
      </c>
      <c r="G10" s="729">
        <f>E10/D10</f>
        <v>0.68348333158951879</v>
      </c>
      <c r="H10" s="730"/>
    </row>
    <row r="11" spans="1:8" s="719" customFormat="1" ht="23.25" customHeight="1">
      <c r="A11" s="731">
        <v>1</v>
      </c>
      <c r="B11" s="732" t="s">
        <v>17</v>
      </c>
      <c r="C11" s="733">
        <f>'PL19'!C11</f>
        <v>2573560</v>
      </c>
      <c r="D11" s="733">
        <f>'PL19'!D11</f>
        <v>2508653</v>
      </c>
      <c r="E11" s="733">
        <v>2873797</v>
      </c>
      <c r="F11" s="733">
        <f t="shared" ref="F11:F39" si="0">E11-D11</f>
        <v>365144</v>
      </c>
      <c r="G11" s="734">
        <f>E11/D11</f>
        <v>1.1455538091557502</v>
      </c>
    </row>
    <row r="12" spans="1:8" s="719" customFormat="1" ht="23.25" customHeight="1">
      <c r="A12" s="735">
        <f>A11+1</f>
        <v>2</v>
      </c>
      <c r="B12" s="732" t="s">
        <v>18</v>
      </c>
      <c r="C12" s="733">
        <f>C13+C14</f>
        <v>6503524</v>
      </c>
      <c r="D12" s="733">
        <f>D13+D14</f>
        <v>8453028.4000000004</v>
      </c>
      <c r="E12" s="733">
        <f>E13+E14</f>
        <v>7338605</v>
      </c>
      <c r="F12" s="733">
        <f t="shared" si="0"/>
        <v>-1114423.4000000004</v>
      </c>
      <c r="G12" s="734">
        <f>E12/D12</f>
        <v>0.86816282316051363</v>
      </c>
    </row>
    <row r="13" spans="1:8" s="719" customFormat="1" ht="23.25" customHeight="1">
      <c r="A13" s="731" t="s">
        <v>19</v>
      </c>
      <c r="B13" s="732" t="s">
        <v>20</v>
      </c>
      <c r="C13" s="733">
        <f>'PL19'!C13</f>
        <v>4162191</v>
      </c>
      <c r="D13" s="733">
        <f>'PL19'!D13</f>
        <v>4162191</v>
      </c>
      <c r="E13" s="733">
        <f>'PL15'!E14</f>
        <v>5383426</v>
      </c>
      <c r="F13" s="733">
        <f t="shared" si="0"/>
        <v>1221235</v>
      </c>
      <c r="G13" s="734">
        <f>E13/D13</f>
        <v>1.2934115709730765</v>
      </c>
    </row>
    <row r="14" spans="1:8" s="719" customFormat="1" ht="23.25" customHeight="1">
      <c r="A14" s="731" t="s">
        <v>19</v>
      </c>
      <c r="B14" s="732" t="s">
        <v>21</v>
      </c>
      <c r="C14" s="733">
        <f>'PL19'!C14</f>
        <v>2341333</v>
      </c>
      <c r="D14" s="733">
        <f>'PL19'!D14</f>
        <v>4290837.4000000004</v>
      </c>
      <c r="E14" s="733">
        <f>'PL15'!E15</f>
        <v>1955179</v>
      </c>
      <c r="F14" s="733">
        <f t="shared" si="0"/>
        <v>-2335658.4000000004</v>
      </c>
      <c r="G14" s="734">
        <f>E14/D14</f>
        <v>0.45566373594114751</v>
      </c>
    </row>
    <row r="15" spans="1:8" s="719" customFormat="1" ht="56.25">
      <c r="A15" s="731">
        <v>3</v>
      </c>
      <c r="B15" s="736" t="s">
        <v>1074</v>
      </c>
      <c r="C15" s="733"/>
      <c r="D15" s="733"/>
      <c r="E15" s="733">
        <f>'PL15'!E16</f>
        <v>698</v>
      </c>
      <c r="F15" s="733"/>
      <c r="G15" s="734"/>
    </row>
    <row r="16" spans="1:8" s="719" customFormat="1" ht="23.25" customHeight="1">
      <c r="A16" s="735">
        <v>4</v>
      </c>
      <c r="B16" s="732" t="s">
        <v>22</v>
      </c>
      <c r="C16" s="733"/>
      <c r="D16" s="733">
        <v>0</v>
      </c>
      <c r="E16" s="733"/>
      <c r="F16" s="733">
        <f t="shared" si="0"/>
        <v>0</v>
      </c>
      <c r="G16" s="734"/>
    </row>
    <row r="17" spans="1:7" s="719" customFormat="1" ht="23.25" customHeight="1">
      <c r="A17" s="735">
        <f>A16+1</f>
        <v>5</v>
      </c>
      <c r="B17" s="732" t="s">
        <v>23</v>
      </c>
      <c r="C17" s="733"/>
      <c r="D17" s="733">
        <f>'PL19'!D16</f>
        <v>137352</v>
      </c>
      <c r="E17" s="733"/>
      <c r="F17" s="733">
        <f t="shared" si="0"/>
        <v>-137352</v>
      </c>
      <c r="G17" s="734">
        <f>-E17/D17</f>
        <v>0</v>
      </c>
    </row>
    <row r="18" spans="1:7" s="719" customFormat="1" ht="23.25" customHeight="1">
      <c r="A18" s="735">
        <f>A17+1</f>
        <v>6</v>
      </c>
      <c r="B18" s="732" t="s">
        <v>24</v>
      </c>
      <c r="C18" s="733"/>
      <c r="D18" s="733">
        <f>'PL19'!D17</f>
        <v>3843686.5288800001</v>
      </c>
      <c r="E18" s="733"/>
      <c r="F18" s="733">
        <f t="shared" si="0"/>
        <v>-3843686.5288800001</v>
      </c>
      <c r="G18" s="734">
        <f>-E18/D18</f>
        <v>0</v>
      </c>
    </row>
    <row r="19" spans="1:7" s="719" customFormat="1" ht="23.25" customHeight="1">
      <c r="A19" s="726" t="s">
        <v>25</v>
      </c>
      <c r="B19" s="727" t="s">
        <v>26</v>
      </c>
      <c r="C19" s="728">
        <f>C20+C21</f>
        <v>9077084</v>
      </c>
      <c r="D19" s="728">
        <f>D20+D21</f>
        <v>14668239.833339</v>
      </c>
      <c r="E19" s="728">
        <f>E20+E21</f>
        <v>10213100</v>
      </c>
      <c r="F19" s="728">
        <f>E19-C19</f>
        <v>1136016</v>
      </c>
      <c r="G19" s="729">
        <f>E19/C19</f>
        <v>1.1251520862867415</v>
      </c>
    </row>
    <row r="20" spans="1:7" s="719" customFormat="1" ht="23.25" customHeight="1">
      <c r="A20" s="731">
        <v>1</v>
      </c>
      <c r="B20" s="732" t="s">
        <v>27</v>
      </c>
      <c r="C20" s="733">
        <f>C10-C21</f>
        <v>5896895</v>
      </c>
      <c r="D20" s="733">
        <f>'PL19'!D19</f>
        <v>11307507.833339</v>
      </c>
      <c r="E20" s="733">
        <f>E10-E21</f>
        <v>5765639</v>
      </c>
      <c r="F20" s="733">
        <f t="shared" ref="F20:F25" si="1">E20-C20</f>
        <v>-131256</v>
      </c>
      <c r="G20" s="734">
        <f t="shared" ref="G20:G25" si="2">E20/C20</f>
        <v>0.9777415063351137</v>
      </c>
    </row>
    <row r="21" spans="1:7" s="719" customFormat="1" ht="23.25" customHeight="1">
      <c r="A21" s="735">
        <f>A20+1</f>
        <v>2</v>
      </c>
      <c r="B21" s="732" t="s">
        <v>28</v>
      </c>
      <c r="C21" s="733">
        <f>C22+C23</f>
        <v>3180189</v>
      </c>
      <c r="D21" s="733">
        <f>D22+D23</f>
        <v>3360732</v>
      </c>
      <c r="E21" s="733">
        <f>E22+E23</f>
        <v>4447461</v>
      </c>
      <c r="F21" s="733">
        <f t="shared" si="1"/>
        <v>1267272</v>
      </c>
      <c r="G21" s="734">
        <f t="shared" si="2"/>
        <v>1.3984895237358534</v>
      </c>
    </row>
    <row r="22" spans="1:7" s="719" customFormat="1" ht="23.25" customHeight="1">
      <c r="A22" s="731" t="s">
        <v>19</v>
      </c>
      <c r="B22" s="732" t="s">
        <v>29</v>
      </c>
      <c r="C22" s="733">
        <v>2839107</v>
      </c>
      <c r="D22" s="733">
        <f>C22</f>
        <v>2839107</v>
      </c>
      <c r="E22" s="733">
        <f>E30</f>
        <v>3676419</v>
      </c>
      <c r="F22" s="733">
        <f t="shared" si="1"/>
        <v>837312</v>
      </c>
      <c r="G22" s="734">
        <f t="shared" si="2"/>
        <v>1.294920902945891</v>
      </c>
    </row>
    <row r="23" spans="1:7" s="719" customFormat="1" ht="23.25" customHeight="1">
      <c r="A23" s="731" t="s">
        <v>19</v>
      </c>
      <c r="B23" s="732" t="s">
        <v>30</v>
      </c>
      <c r="C23" s="733">
        <f>281871+59211</f>
        <v>341082</v>
      </c>
      <c r="D23" s="733">
        <f>'PL19'!D22</f>
        <v>521625</v>
      </c>
      <c r="E23" s="733">
        <v>771042</v>
      </c>
      <c r="F23" s="733">
        <f t="shared" si="1"/>
        <v>429960</v>
      </c>
      <c r="G23" s="734">
        <f t="shared" si="2"/>
        <v>2.2605766355304588</v>
      </c>
    </row>
    <row r="24" spans="1:7" s="719" customFormat="1" ht="23.25" customHeight="1">
      <c r="A24" s="735">
        <f>A21+1</f>
        <v>3</v>
      </c>
      <c r="B24" s="732" t="s">
        <v>31</v>
      </c>
      <c r="C24" s="733"/>
      <c r="D24" s="733"/>
      <c r="E24" s="733"/>
      <c r="F24" s="733"/>
      <c r="G24" s="734"/>
    </row>
    <row r="25" spans="1:7" s="738" customFormat="1" ht="23.25" customHeight="1">
      <c r="A25" s="726" t="s">
        <v>32</v>
      </c>
      <c r="B25" s="737" t="s">
        <v>1057</v>
      </c>
      <c r="C25" s="728">
        <v>77200</v>
      </c>
      <c r="D25" s="728">
        <f>'PL19'!D24</f>
        <v>8657.4</v>
      </c>
      <c r="E25" s="728">
        <v>7400</v>
      </c>
      <c r="F25" s="728">
        <f t="shared" si="1"/>
        <v>-69800</v>
      </c>
      <c r="G25" s="729">
        <f t="shared" si="2"/>
        <v>9.585492227979274E-2</v>
      </c>
    </row>
    <row r="26" spans="1:7" s="719" customFormat="1" ht="23.25" customHeight="1">
      <c r="A26" s="726" t="s">
        <v>11</v>
      </c>
      <c r="B26" s="737" t="s">
        <v>33</v>
      </c>
      <c r="C26" s="739"/>
      <c r="D26" s="739"/>
      <c r="E26" s="739"/>
      <c r="F26" s="728"/>
      <c r="G26" s="729"/>
    </row>
    <row r="27" spans="1:7" s="719" customFormat="1" ht="23.25" customHeight="1">
      <c r="A27" s="726" t="s">
        <v>15</v>
      </c>
      <c r="B27" s="727" t="s">
        <v>1058</v>
      </c>
      <c r="C27" s="728">
        <f>C28+C29+C32+C33</f>
        <v>4737229</v>
      </c>
      <c r="D27" s="728">
        <f>D28+D29+D32+D33</f>
        <v>5403456.4711199999</v>
      </c>
      <c r="E27" s="728">
        <f>E28+E29+E32+E33</f>
        <v>6017164</v>
      </c>
      <c r="F27" s="728">
        <f t="shared" si="0"/>
        <v>613707.52888000011</v>
      </c>
      <c r="G27" s="729">
        <f>E27/D27</f>
        <v>1.1135768432965267</v>
      </c>
    </row>
    <row r="28" spans="1:7" s="719" customFormat="1" ht="23.25" customHeight="1">
      <c r="A28" s="731">
        <v>1</v>
      </c>
      <c r="B28" s="732" t="s">
        <v>17</v>
      </c>
      <c r="C28" s="733">
        <v>1557040</v>
      </c>
      <c r="D28" s="733">
        <f>'PL19'!D27</f>
        <v>1422347</v>
      </c>
      <c r="E28" s="733">
        <f>'PL15'!E10-'PL30'!E11</f>
        <v>1569703</v>
      </c>
      <c r="F28" s="733">
        <f t="shared" si="0"/>
        <v>147356</v>
      </c>
      <c r="G28" s="734">
        <f>E28/D28</f>
        <v>1.1036005981662702</v>
      </c>
    </row>
    <row r="29" spans="1:7" s="719" customFormat="1" ht="23.25" customHeight="1">
      <c r="A29" s="735">
        <f>A28+1</f>
        <v>2</v>
      </c>
      <c r="B29" s="732" t="s">
        <v>18</v>
      </c>
      <c r="C29" s="733">
        <f>C30+C31</f>
        <v>3180189</v>
      </c>
      <c r="D29" s="733">
        <f>'PL19'!D28</f>
        <v>3360732</v>
      </c>
      <c r="E29" s="733">
        <f>E30+E31</f>
        <v>4447461</v>
      </c>
      <c r="F29" s="733">
        <f t="shared" si="0"/>
        <v>1086729</v>
      </c>
      <c r="G29" s="734">
        <f>E29/D29</f>
        <v>1.323360803539229</v>
      </c>
    </row>
    <row r="30" spans="1:7" s="719" customFormat="1" ht="23.25" customHeight="1">
      <c r="A30" s="731" t="s">
        <v>19</v>
      </c>
      <c r="B30" s="732" t="s">
        <v>20</v>
      </c>
      <c r="C30" s="733">
        <f>C22</f>
        <v>2839107</v>
      </c>
      <c r="D30" s="733">
        <f>'PL19'!D29</f>
        <v>2839107</v>
      </c>
      <c r="E30" s="733">
        <v>3676419</v>
      </c>
      <c r="F30" s="733">
        <f t="shared" si="0"/>
        <v>837312</v>
      </c>
      <c r="G30" s="734">
        <f>E30/D30</f>
        <v>1.294920902945891</v>
      </c>
    </row>
    <row r="31" spans="1:7" s="719" customFormat="1" ht="23.25" customHeight="1">
      <c r="A31" s="731" t="s">
        <v>19</v>
      </c>
      <c r="B31" s="732" t="s">
        <v>21</v>
      </c>
      <c r="C31" s="733">
        <f>C23</f>
        <v>341082</v>
      </c>
      <c r="D31" s="733">
        <f>'PL19'!D30</f>
        <v>521625</v>
      </c>
      <c r="E31" s="733">
        <f>E23</f>
        <v>771042</v>
      </c>
      <c r="F31" s="733">
        <f t="shared" si="0"/>
        <v>249417</v>
      </c>
      <c r="G31" s="734">
        <f>-E31/D31</f>
        <v>-1.4781538461538462</v>
      </c>
    </row>
    <row r="32" spans="1:7" s="719" customFormat="1" ht="23.25" customHeight="1">
      <c r="A32" s="735">
        <f>A29+1</f>
        <v>3</v>
      </c>
      <c r="B32" s="732" t="s">
        <v>23</v>
      </c>
      <c r="C32" s="733"/>
      <c r="D32" s="733">
        <f>'PL19'!D31</f>
        <v>34338</v>
      </c>
      <c r="E32" s="733"/>
      <c r="F32" s="733">
        <f t="shared" si="0"/>
        <v>-34338</v>
      </c>
      <c r="G32" s="734">
        <f>-E32/D32</f>
        <v>0</v>
      </c>
    </row>
    <row r="33" spans="1:7" s="719" customFormat="1" ht="23.25" customHeight="1">
      <c r="A33" s="735">
        <f>A32+1</f>
        <v>4</v>
      </c>
      <c r="B33" s="732" t="s">
        <v>24</v>
      </c>
      <c r="C33" s="733"/>
      <c r="D33" s="733">
        <f>'PL19'!D32</f>
        <v>586039.47111999989</v>
      </c>
      <c r="E33" s="733"/>
      <c r="F33" s="733">
        <f t="shared" si="0"/>
        <v>-586039.47111999989</v>
      </c>
      <c r="G33" s="734">
        <f>-E33/D33</f>
        <v>0</v>
      </c>
    </row>
    <row r="34" spans="1:7" s="719" customFormat="1" ht="23.25" customHeight="1">
      <c r="A34" s="726" t="s">
        <v>25</v>
      </c>
      <c r="B34" s="727" t="s">
        <v>26</v>
      </c>
      <c r="C34" s="728">
        <f>C35</f>
        <v>4737229</v>
      </c>
      <c r="D34" s="728">
        <f>D35</f>
        <v>5403455.7666609995</v>
      </c>
      <c r="E34" s="728">
        <f>E35</f>
        <v>6017164</v>
      </c>
      <c r="F34" s="728">
        <f>E34-C34</f>
        <v>1279935</v>
      </c>
      <c r="G34" s="729">
        <f>E34/C34</f>
        <v>1.270186431772667</v>
      </c>
    </row>
    <row r="35" spans="1:7" s="719" customFormat="1" ht="23.25" customHeight="1">
      <c r="A35" s="731">
        <v>1</v>
      </c>
      <c r="B35" s="732" t="s">
        <v>1059</v>
      </c>
      <c r="C35" s="733">
        <f>C27</f>
        <v>4737229</v>
      </c>
      <c r="D35" s="733">
        <f>'PL19'!D34</f>
        <v>5403455.7666609995</v>
      </c>
      <c r="E35" s="733">
        <f>E27</f>
        <v>6017164</v>
      </c>
      <c r="F35" s="733">
        <f>E35-C35</f>
        <v>1279935</v>
      </c>
      <c r="G35" s="734">
        <f>E35/C35</f>
        <v>1.270186431772667</v>
      </c>
    </row>
    <row r="36" spans="1:7" s="719" customFormat="1" ht="23.25" hidden="1" customHeight="1" outlineLevel="1">
      <c r="A36" s="735">
        <f>A35+1</f>
        <v>2</v>
      </c>
      <c r="B36" s="732" t="s">
        <v>34</v>
      </c>
      <c r="C36" s="733"/>
      <c r="D36" s="733"/>
      <c r="E36" s="733"/>
      <c r="F36" s="733">
        <f t="shared" si="0"/>
        <v>0</v>
      </c>
      <c r="G36" s="734"/>
    </row>
    <row r="37" spans="1:7" s="719" customFormat="1" ht="23.25" hidden="1" customHeight="1" outlineLevel="1">
      <c r="A37" s="731" t="s">
        <v>19</v>
      </c>
      <c r="B37" s="732" t="s">
        <v>29</v>
      </c>
      <c r="C37" s="733"/>
      <c r="D37" s="733"/>
      <c r="E37" s="733"/>
      <c r="F37" s="733">
        <f t="shared" si="0"/>
        <v>0</v>
      </c>
      <c r="G37" s="734"/>
    </row>
    <row r="38" spans="1:7" s="719" customFormat="1" ht="23.25" hidden="1" customHeight="1" outlineLevel="1">
      <c r="A38" s="731" t="s">
        <v>19</v>
      </c>
      <c r="B38" s="732" t="s">
        <v>30</v>
      </c>
      <c r="C38" s="733"/>
      <c r="D38" s="733"/>
      <c r="E38" s="733"/>
      <c r="F38" s="733">
        <f t="shared" si="0"/>
        <v>0</v>
      </c>
      <c r="G38" s="734"/>
    </row>
    <row r="39" spans="1:7" s="719" customFormat="1" ht="23.25" hidden="1" customHeight="1" outlineLevel="1">
      <c r="A39" s="735">
        <f>A36+1</f>
        <v>3</v>
      </c>
      <c r="B39" s="732" t="s">
        <v>31</v>
      </c>
      <c r="C39" s="733"/>
      <c r="D39" s="733"/>
      <c r="E39" s="733"/>
      <c r="F39" s="733">
        <f t="shared" si="0"/>
        <v>0</v>
      </c>
      <c r="G39" s="734"/>
    </row>
    <row r="40" spans="1:7" ht="15.95" customHeight="1" collapsed="1">
      <c r="A40" s="740"/>
      <c r="B40" s="741"/>
      <c r="C40" s="740"/>
      <c r="D40" s="740"/>
      <c r="E40" s="740"/>
      <c r="F40" s="740"/>
      <c r="G40" s="740"/>
    </row>
    <row r="41" spans="1:7" ht="23.25" customHeight="1">
      <c r="A41" s="742" t="s">
        <v>1060</v>
      </c>
      <c r="B41" s="742"/>
    </row>
    <row r="42" spans="1:7" ht="15.75" customHeight="1">
      <c r="B42" s="1149" t="s">
        <v>36</v>
      </c>
      <c r="C42" s="1149"/>
      <c r="D42" s="1149"/>
      <c r="E42" s="1149"/>
      <c r="F42" s="1149"/>
      <c r="G42" s="1149"/>
    </row>
    <row r="43" spans="1:7" ht="15.75" customHeight="1">
      <c r="B43" s="1149" t="s">
        <v>1061</v>
      </c>
      <c r="C43" s="1149"/>
      <c r="D43" s="1149"/>
      <c r="E43" s="1149"/>
      <c r="F43" s="1149"/>
      <c r="G43" s="1149"/>
    </row>
    <row r="44" spans="1:7" ht="15.75" customHeight="1">
      <c r="B44" s="1149" t="s">
        <v>550</v>
      </c>
      <c r="C44" s="1149"/>
      <c r="D44" s="1149"/>
      <c r="E44" s="1149"/>
      <c r="F44" s="1149"/>
      <c r="G44" s="1149"/>
    </row>
    <row r="45" spans="1:7" ht="11.25" customHeight="1">
      <c r="A45" s="719"/>
      <c r="B45" s="719"/>
      <c r="C45" s="719"/>
      <c r="D45" s="719"/>
      <c r="E45" s="719"/>
      <c r="F45" s="719"/>
      <c r="G45" s="719"/>
    </row>
    <row r="46" spans="1:7" ht="18.75">
      <c r="A46" s="719"/>
      <c r="B46" s="719"/>
      <c r="C46" s="719"/>
      <c r="D46" s="719"/>
      <c r="E46" s="719"/>
      <c r="F46" s="719"/>
      <c r="G46" s="719"/>
    </row>
    <row r="47" spans="1:7" ht="18.75">
      <c r="A47" s="719"/>
      <c r="B47" s="719"/>
      <c r="C47" s="719"/>
      <c r="D47" s="719"/>
      <c r="E47" s="719"/>
      <c r="F47" s="719"/>
      <c r="G47" s="719"/>
    </row>
    <row r="48" spans="1:7" ht="18.75">
      <c r="A48" s="719"/>
      <c r="B48" s="719"/>
      <c r="C48" s="719"/>
      <c r="D48" s="719"/>
      <c r="E48" s="719"/>
      <c r="F48" s="719"/>
      <c r="G48" s="719"/>
    </row>
    <row r="49" spans="1:7" ht="18.75">
      <c r="A49" s="719"/>
      <c r="B49" s="719"/>
      <c r="C49" s="719"/>
      <c r="D49" s="719"/>
      <c r="E49" s="719"/>
      <c r="F49" s="719"/>
      <c r="G49" s="719"/>
    </row>
    <row r="50" spans="1:7" ht="18.75">
      <c r="A50" s="719"/>
      <c r="B50" s="719"/>
      <c r="C50" s="719"/>
      <c r="D50" s="719"/>
      <c r="E50" s="719"/>
      <c r="F50" s="719"/>
      <c r="G50" s="719"/>
    </row>
    <row r="51" spans="1:7" ht="22.5" customHeight="1">
      <c r="A51" s="719"/>
      <c r="B51" s="719"/>
      <c r="C51" s="719"/>
      <c r="D51" s="719"/>
      <c r="E51" s="719"/>
      <c r="F51" s="719"/>
      <c r="G51" s="719"/>
    </row>
    <row r="52" spans="1:7" ht="18.75">
      <c r="A52" s="719"/>
      <c r="B52" s="719"/>
      <c r="C52" s="719"/>
      <c r="D52" s="719"/>
      <c r="E52" s="719"/>
      <c r="F52" s="719"/>
      <c r="G52" s="719"/>
    </row>
    <row r="53" spans="1:7" ht="18.75">
      <c r="A53" s="719"/>
      <c r="B53" s="719"/>
      <c r="C53" s="719"/>
      <c r="D53" s="719"/>
      <c r="E53" s="719"/>
      <c r="F53" s="719"/>
      <c r="G53" s="719"/>
    </row>
    <row r="54" spans="1:7" ht="18.75">
      <c r="A54" s="719"/>
      <c r="B54" s="719"/>
      <c r="C54" s="719"/>
      <c r="D54" s="719"/>
      <c r="E54" s="719"/>
      <c r="F54" s="719"/>
      <c r="G54" s="719"/>
    </row>
    <row r="55" spans="1:7" ht="18.75">
      <c r="A55" s="719"/>
      <c r="B55" s="719"/>
      <c r="C55" s="719"/>
      <c r="D55" s="719"/>
      <c r="E55" s="719"/>
      <c r="F55" s="719"/>
      <c r="G55" s="719"/>
    </row>
  </sheetData>
  <mergeCells count="15">
    <mergeCell ref="B42:G42"/>
    <mergeCell ref="B43:G43"/>
    <mergeCell ref="B44:G44"/>
    <mergeCell ref="F1:G1"/>
    <mergeCell ref="A2:G2"/>
    <mergeCell ref="A3:G3"/>
    <mergeCell ref="F4:G4"/>
    <mergeCell ref="A5:A7"/>
    <mergeCell ref="B5:B7"/>
    <mergeCell ref="C5:C7"/>
    <mergeCell ref="D5:D7"/>
    <mergeCell ref="E5:E7"/>
    <mergeCell ref="F5:G5"/>
    <mergeCell ref="F6:F7"/>
    <mergeCell ref="G6:G7"/>
  </mergeCells>
  <printOptions horizontalCentered="1"/>
  <pageMargins left="0.31" right="0.3" top="0.71" bottom="0.17" header="0.48" footer="0.2"/>
  <pageSetup paperSize="9" scale="67" fitToHeight="5" orientation="portrait" r:id="rId1"/>
  <headerFooter alignWithMargins="0">
    <oddFooter>&amp;C&amp;".VnTime,  Italic"&amp;8
&amp;".VnTime,Regular"&amp;12&amp;P/&amp;N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40"/>
  <sheetViews>
    <sheetView showZeros="0" zoomScale="90" zoomScaleNormal="90" workbookViewId="0">
      <selection activeCell="A25" sqref="A25:XFD26"/>
    </sheetView>
  </sheetViews>
  <sheetFormatPr defaultRowHeight="15.75"/>
  <cols>
    <col min="1" max="1" width="5.85546875" style="42" customWidth="1"/>
    <col min="2" max="2" width="29.28515625" style="42" customWidth="1"/>
    <col min="3" max="3" width="14" style="42" customWidth="1"/>
    <col min="4" max="4" width="13.5703125" style="42" customWidth="1"/>
    <col min="5" max="5" width="12.28515625" style="42" customWidth="1"/>
    <col min="6" max="6" width="12.140625" style="42" customWidth="1"/>
    <col min="7" max="7" width="11.28515625" style="42" customWidth="1"/>
    <col min="8" max="8" width="13.5703125" style="42" customWidth="1"/>
    <col min="9" max="9" width="13.140625" style="42" customWidth="1"/>
    <col min="10" max="10" width="13.28515625" style="42" customWidth="1"/>
    <col min="11" max="11" width="13.140625" style="42" customWidth="1"/>
    <col min="12" max="15" width="11.5703125" style="42" customWidth="1"/>
    <col min="16" max="256" width="9.140625" style="42"/>
    <col min="257" max="257" width="5.85546875" style="42" customWidth="1"/>
    <col min="258" max="258" width="29.28515625" style="42" customWidth="1"/>
    <col min="259" max="259" width="14" style="42" customWidth="1"/>
    <col min="260" max="260" width="13.5703125" style="42" customWidth="1"/>
    <col min="261" max="261" width="12.28515625" style="42" customWidth="1"/>
    <col min="262" max="262" width="12.140625" style="42" customWidth="1"/>
    <col min="263" max="263" width="11.28515625" style="42" customWidth="1"/>
    <col min="264" max="264" width="13.5703125" style="42" customWidth="1"/>
    <col min="265" max="265" width="13.140625" style="42" customWidth="1"/>
    <col min="266" max="266" width="13.28515625" style="42" customWidth="1"/>
    <col min="267" max="267" width="13.140625" style="42" customWidth="1"/>
    <col min="268" max="271" width="11.5703125" style="42" customWidth="1"/>
    <col min="272" max="512" width="9.140625" style="42"/>
    <col min="513" max="513" width="5.85546875" style="42" customWidth="1"/>
    <col min="514" max="514" width="29.28515625" style="42" customWidth="1"/>
    <col min="515" max="515" width="14" style="42" customWidth="1"/>
    <col min="516" max="516" width="13.5703125" style="42" customWidth="1"/>
    <col min="517" max="517" width="12.28515625" style="42" customWidth="1"/>
    <col min="518" max="518" width="12.140625" style="42" customWidth="1"/>
    <col min="519" max="519" width="11.28515625" style="42" customWidth="1"/>
    <col min="520" max="520" width="13.5703125" style="42" customWidth="1"/>
    <col min="521" max="521" width="13.140625" style="42" customWidth="1"/>
    <col min="522" max="522" width="13.28515625" style="42" customWidth="1"/>
    <col min="523" max="523" width="13.140625" style="42" customWidth="1"/>
    <col min="524" max="527" width="11.5703125" style="42" customWidth="1"/>
    <col min="528" max="768" width="9.140625" style="42"/>
    <col min="769" max="769" width="5.85546875" style="42" customWidth="1"/>
    <col min="770" max="770" width="29.28515625" style="42" customWidth="1"/>
    <col min="771" max="771" width="14" style="42" customWidth="1"/>
    <col min="772" max="772" width="13.5703125" style="42" customWidth="1"/>
    <col min="773" max="773" width="12.28515625" style="42" customWidth="1"/>
    <col min="774" max="774" width="12.140625" style="42" customWidth="1"/>
    <col min="775" max="775" width="11.28515625" style="42" customWidth="1"/>
    <col min="776" max="776" width="13.5703125" style="42" customWidth="1"/>
    <col min="777" max="777" width="13.140625" style="42" customWidth="1"/>
    <col min="778" max="778" width="13.28515625" style="42" customWidth="1"/>
    <col min="779" max="779" width="13.140625" style="42" customWidth="1"/>
    <col min="780" max="783" width="11.5703125" style="42" customWidth="1"/>
    <col min="784" max="1024" width="9.140625" style="42"/>
    <col min="1025" max="1025" width="5.85546875" style="42" customWidth="1"/>
    <col min="1026" max="1026" width="29.28515625" style="42" customWidth="1"/>
    <col min="1027" max="1027" width="14" style="42" customWidth="1"/>
    <col min="1028" max="1028" width="13.5703125" style="42" customWidth="1"/>
    <col min="1029" max="1029" width="12.28515625" style="42" customWidth="1"/>
    <col min="1030" max="1030" width="12.140625" style="42" customWidth="1"/>
    <col min="1031" max="1031" width="11.28515625" style="42" customWidth="1"/>
    <col min="1032" max="1032" width="13.5703125" style="42" customWidth="1"/>
    <col min="1033" max="1033" width="13.140625" style="42" customWidth="1"/>
    <col min="1034" max="1034" width="13.28515625" style="42" customWidth="1"/>
    <col min="1035" max="1035" width="13.140625" style="42" customWidth="1"/>
    <col min="1036" max="1039" width="11.5703125" style="42" customWidth="1"/>
    <col min="1040" max="1280" width="9.140625" style="42"/>
    <col min="1281" max="1281" width="5.85546875" style="42" customWidth="1"/>
    <col min="1282" max="1282" width="29.28515625" style="42" customWidth="1"/>
    <col min="1283" max="1283" width="14" style="42" customWidth="1"/>
    <col min="1284" max="1284" width="13.5703125" style="42" customWidth="1"/>
    <col min="1285" max="1285" width="12.28515625" style="42" customWidth="1"/>
    <col min="1286" max="1286" width="12.140625" style="42" customWidth="1"/>
    <col min="1287" max="1287" width="11.28515625" style="42" customWidth="1"/>
    <col min="1288" max="1288" width="13.5703125" style="42" customWidth="1"/>
    <col min="1289" max="1289" width="13.140625" style="42" customWidth="1"/>
    <col min="1290" max="1290" width="13.28515625" style="42" customWidth="1"/>
    <col min="1291" max="1291" width="13.140625" style="42" customWidth="1"/>
    <col min="1292" max="1295" width="11.5703125" style="42" customWidth="1"/>
    <col min="1296" max="1536" width="9.140625" style="42"/>
    <col min="1537" max="1537" width="5.85546875" style="42" customWidth="1"/>
    <col min="1538" max="1538" width="29.28515625" style="42" customWidth="1"/>
    <col min="1539" max="1539" width="14" style="42" customWidth="1"/>
    <col min="1540" max="1540" width="13.5703125" style="42" customWidth="1"/>
    <col min="1541" max="1541" width="12.28515625" style="42" customWidth="1"/>
    <col min="1542" max="1542" width="12.140625" style="42" customWidth="1"/>
    <col min="1543" max="1543" width="11.28515625" style="42" customWidth="1"/>
    <col min="1544" max="1544" width="13.5703125" style="42" customWidth="1"/>
    <col min="1545" max="1545" width="13.140625" style="42" customWidth="1"/>
    <col min="1546" max="1546" width="13.28515625" style="42" customWidth="1"/>
    <col min="1547" max="1547" width="13.140625" style="42" customWidth="1"/>
    <col min="1548" max="1551" width="11.5703125" style="42" customWidth="1"/>
    <col min="1552" max="1792" width="9.140625" style="42"/>
    <col min="1793" max="1793" width="5.85546875" style="42" customWidth="1"/>
    <col min="1794" max="1794" width="29.28515625" style="42" customWidth="1"/>
    <col min="1795" max="1795" width="14" style="42" customWidth="1"/>
    <col min="1796" max="1796" width="13.5703125" style="42" customWidth="1"/>
    <col min="1797" max="1797" width="12.28515625" style="42" customWidth="1"/>
    <col min="1798" max="1798" width="12.140625" style="42" customWidth="1"/>
    <col min="1799" max="1799" width="11.28515625" style="42" customWidth="1"/>
    <col min="1800" max="1800" width="13.5703125" style="42" customWidth="1"/>
    <col min="1801" max="1801" width="13.140625" style="42" customWidth="1"/>
    <col min="1802" max="1802" width="13.28515625" style="42" customWidth="1"/>
    <col min="1803" max="1803" width="13.140625" style="42" customWidth="1"/>
    <col min="1804" max="1807" width="11.5703125" style="42" customWidth="1"/>
    <col min="1808" max="2048" width="9.140625" style="42"/>
    <col min="2049" max="2049" width="5.85546875" style="42" customWidth="1"/>
    <col min="2050" max="2050" width="29.28515625" style="42" customWidth="1"/>
    <col min="2051" max="2051" width="14" style="42" customWidth="1"/>
    <col min="2052" max="2052" width="13.5703125" style="42" customWidth="1"/>
    <col min="2053" max="2053" width="12.28515625" style="42" customWidth="1"/>
    <col min="2054" max="2054" width="12.140625" style="42" customWidth="1"/>
    <col min="2055" max="2055" width="11.28515625" style="42" customWidth="1"/>
    <col min="2056" max="2056" width="13.5703125" style="42" customWidth="1"/>
    <col min="2057" max="2057" width="13.140625" style="42" customWidth="1"/>
    <col min="2058" max="2058" width="13.28515625" style="42" customWidth="1"/>
    <col min="2059" max="2059" width="13.140625" style="42" customWidth="1"/>
    <col min="2060" max="2063" width="11.5703125" style="42" customWidth="1"/>
    <col min="2064" max="2304" width="9.140625" style="42"/>
    <col min="2305" max="2305" width="5.85546875" style="42" customWidth="1"/>
    <col min="2306" max="2306" width="29.28515625" style="42" customWidth="1"/>
    <col min="2307" max="2307" width="14" style="42" customWidth="1"/>
    <col min="2308" max="2308" width="13.5703125" style="42" customWidth="1"/>
    <col min="2309" max="2309" width="12.28515625" style="42" customWidth="1"/>
    <col min="2310" max="2310" width="12.140625" style="42" customWidth="1"/>
    <col min="2311" max="2311" width="11.28515625" style="42" customWidth="1"/>
    <col min="2312" max="2312" width="13.5703125" style="42" customWidth="1"/>
    <col min="2313" max="2313" width="13.140625" style="42" customWidth="1"/>
    <col min="2314" max="2314" width="13.28515625" style="42" customWidth="1"/>
    <col min="2315" max="2315" width="13.140625" style="42" customWidth="1"/>
    <col min="2316" max="2319" width="11.5703125" style="42" customWidth="1"/>
    <col min="2320" max="2560" width="9.140625" style="42"/>
    <col min="2561" max="2561" width="5.85546875" style="42" customWidth="1"/>
    <col min="2562" max="2562" width="29.28515625" style="42" customWidth="1"/>
    <col min="2563" max="2563" width="14" style="42" customWidth="1"/>
    <col min="2564" max="2564" width="13.5703125" style="42" customWidth="1"/>
    <col min="2565" max="2565" width="12.28515625" style="42" customWidth="1"/>
    <col min="2566" max="2566" width="12.140625" style="42" customWidth="1"/>
    <col min="2567" max="2567" width="11.28515625" style="42" customWidth="1"/>
    <col min="2568" max="2568" width="13.5703125" style="42" customWidth="1"/>
    <col min="2569" max="2569" width="13.140625" style="42" customWidth="1"/>
    <col min="2570" max="2570" width="13.28515625" style="42" customWidth="1"/>
    <col min="2571" max="2571" width="13.140625" style="42" customWidth="1"/>
    <col min="2572" max="2575" width="11.5703125" style="42" customWidth="1"/>
    <col min="2576" max="2816" width="9.140625" style="42"/>
    <col min="2817" max="2817" width="5.85546875" style="42" customWidth="1"/>
    <col min="2818" max="2818" width="29.28515625" style="42" customWidth="1"/>
    <col min="2819" max="2819" width="14" style="42" customWidth="1"/>
    <col min="2820" max="2820" width="13.5703125" style="42" customWidth="1"/>
    <col min="2821" max="2821" width="12.28515625" style="42" customWidth="1"/>
    <col min="2822" max="2822" width="12.140625" style="42" customWidth="1"/>
    <col min="2823" max="2823" width="11.28515625" style="42" customWidth="1"/>
    <col min="2824" max="2824" width="13.5703125" style="42" customWidth="1"/>
    <col min="2825" max="2825" width="13.140625" style="42" customWidth="1"/>
    <col min="2826" max="2826" width="13.28515625" style="42" customWidth="1"/>
    <col min="2827" max="2827" width="13.140625" style="42" customWidth="1"/>
    <col min="2828" max="2831" width="11.5703125" style="42" customWidth="1"/>
    <col min="2832" max="3072" width="9.140625" style="42"/>
    <col min="3073" max="3073" width="5.85546875" style="42" customWidth="1"/>
    <col min="3074" max="3074" width="29.28515625" style="42" customWidth="1"/>
    <col min="3075" max="3075" width="14" style="42" customWidth="1"/>
    <col min="3076" max="3076" width="13.5703125" style="42" customWidth="1"/>
    <col min="3077" max="3077" width="12.28515625" style="42" customWidth="1"/>
    <col min="3078" max="3078" width="12.140625" style="42" customWidth="1"/>
    <col min="3079" max="3079" width="11.28515625" style="42" customWidth="1"/>
    <col min="3080" max="3080" width="13.5703125" style="42" customWidth="1"/>
    <col min="3081" max="3081" width="13.140625" style="42" customWidth="1"/>
    <col min="3082" max="3082" width="13.28515625" style="42" customWidth="1"/>
    <col min="3083" max="3083" width="13.140625" style="42" customWidth="1"/>
    <col min="3084" max="3087" width="11.5703125" style="42" customWidth="1"/>
    <col min="3088" max="3328" width="9.140625" style="42"/>
    <col min="3329" max="3329" width="5.85546875" style="42" customWidth="1"/>
    <col min="3330" max="3330" width="29.28515625" style="42" customWidth="1"/>
    <col min="3331" max="3331" width="14" style="42" customWidth="1"/>
    <col min="3332" max="3332" width="13.5703125" style="42" customWidth="1"/>
    <col min="3333" max="3333" width="12.28515625" style="42" customWidth="1"/>
    <col min="3334" max="3334" width="12.140625" style="42" customWidth="1"/>
    <col min="3335" max="3335" width="11.28515625" style="42" customWidth="1"/>
    <col min="3336" max="3336" width="13.5703125" style="42" customWidth="1"/>
    <col min="3337" max="3337" width="13.140625" style="42" customWidth="1"/>
    <col min="3338" max="3338" width="13.28515625" style="42" customWidth="1"/>
    <col min="3339" max="3339" width="13.140625" style="42" customWidth="1"/>
    <col min="3340" max="3343" width="11.5703125" style="42" customWidth="1"/>
    <col min="3344" max="3584" width="9.140625" style="42"/>
    <col min="3585" max="3585" width="5.85546875" style="42" customWidth="1"/>
    <col min="3586" max="3586" width="29.28515625" style="42" customWidth="1"/>
    <col min="3587" max="3587" width="14" style="42" customWidth="1"/>
    <col min="3588" max="3588" width="13.5703125" style="42" customWidth="1"/>
    <col min="3589" max="3589" width="12.28515625" style="42" customWidth="1"/>
    <col min="3590" max="3590" width="12.140625" style="42" customWidth="1"/>
    <col min="3591" max="3591" width="11.28515625" style="42" customWidth="1"/>
    <col min="3592" max="3592" width="13.5703125" style="42" customWidth="1"/>
    <col min="3593" max="3593" width="13.140625" style="42" customWidth="1"/>
    <col min="3594" max="3594" width="13.28515625" style="42" customWidth="1"/>
    <col min="3595" max="3595" width="13.140625" style="42" customWidth="1"/>
    <col min="3596" max="3599" width="11.5703125" style="42" customWidth="1"/>
    <col min="3600" max="3840" width="9.140625" style="42"/>
    <col min="3841" max="3841" width="5.85546875" style="42" customWidth="1"/>
    <col min="3842" max="3842" width="29.28515625" style="42" customWidth="1"/>
    <col min="3843" max="3843" width="14" style="42" customWidth="1"/>
    <col min="3844" max="3844" width="13.5703125" style="42" customWidth="1"/>
    <col min="3845" max="3845" width="12.28515625" style="42" customWidth="1"/>
    <col min="3846" max="3846" width="12.140625" style="42" customWidth="1"/>
    <col min="3847" max="3847" width="11.28515625" style="42" customWidth="1"/>
    <col min="3848" max="3848" width="13.5703125" style="42" customWidth="1"/>
    <col min="3849" max="3849" width="13.140625" style="42" customWidth="1"/>
    <col min="3850" max="3850" width="13.28515625" style="42" customWidth="1"/>
    <col min="3851" max="3851" width="13.140625" style="42" customWidth="1"/>
    <col min="3852" max="3855" width="11.5703125" style="42" customWidth="1"/>
    <col min="3856" max="4096" width="9.140625" style="42"/>
    <col min="4097" max="4097" width="5.85546875" style="42" customWidth="1"/>
    <col min="4098" max="4098" width="29.28515625" style="42" customWidth="1"/>
    <col min="4099" max="4099" width="14" style="42" customWidth="1"/>
    <col min="4100" max="4100" width="13.5703125" style="42" customWidth="1"/>
    <col min="4101" max="4101" width="12.28515625" style="42" customWidth="1"/>
    <col min="4102" max="4102" width="12.140625" style="42" customWidth="1"/>
    <col min="4103" max="4103" width="11.28515625" style="42" customWidth="1"/>
    <col min="4104" max="4104" width="13.5703125" style="42" customWidth="1"/>
    <col min="4105" max="4105" width="13.140625" style="42" customWidth="1"/>
    <col min="4106" max="4106" width="13.28515625" style="42" customWidth="1"/>
    <col min="4107" max="4107" width="13.140625" style="42" customWidth="1"/>
    <col min="4108" max="4111" width="11.5703125" style="42" customWidth="1"/>
    <col min="4112" max="4352" width="9.140625" style="42"/>
    <col min="4353" max="4353" width="5.85546875" style="42" customWidth="1"/>
    <col min="4354" max="4354" width="29.28515625" style="42" customWidth="1"/>
    <col min="4355" max="4355" width="14" style="42" customWidth="1"/>
    <col min="4356" max="4356" width="13.5703125" style="42" customWidth="1"/>
    <col min="4357" max="4357" width="12.28515625" style="42" customWidth="1"/>
    <col min="4358" max="4358" width="12.140625" style="42" customWidth="1"/>
    <col min="4359" max="4359" width="11.28515625" style="42" customWidth="1"/>
    <col min="4360" max="4360" width="13.5703125" style="42" customWidth="1"/>
    <col min="4361" max="4361" width="13.140625" style="42" customWidth="1"/>
    <col min="4362" max="4362" width="13.28515625" style="42" customWidth="1"/>
    <col min="4363" max="4363" width="13.140625" style="42" customWidth="1"/>
    <col min="4364" max="4367" width="11.5703125" style="42" customWidth="1"/>
    <col min="4368" max="4608" width="9.140625" style="42"/>
    <col min="4609" max="4609" width="5.85546875" style="42" customWidth="1"/>
    <col min="4610" max="4610" width="29.28515625" style="42" customWidth="1"/>
    <col min="4611" max="4611" width="14" style="42" customWidth="1"/>
    <col min="4612" max="4612" width="13.5703125" style="42" customWidth="1"/>
    <col min="4613" max="4613" width="12.28515625" style="42" customWidth="1"/>
    <col min="4614" max="4614" width="12.140625" style="42" customWidth="1"/>
    <col min="4615" max="4615" width="11.28515625" style="42" customWidth="1"/>
    <col min="4616" max="4616" width="13.5703125" style="42" customWidth="1"/>
    <col min="4617" max="4617" width="13.140625" style="42" customWidth="1"/>
    <col min="4618" max="4618" width="13.28515625" style="42" customWidth="1"/>
    <col min="4619" max="4619" width="13.140625" style="42" customWidth="1"/>
    <col min="4620" max="4623" width="11.5703125" style="42" customWidth="1"/>
    <col min="4624" max="4864" width="9.140625" style="42"/>
    <col min="4865" max="4865" width="5.85546875" style="42" customWidth="1"/>
    <col min="4866" max="4866" width="29.28515625" style="42" customWidth="1"/>
    <col min="4867" max="4867" width="14" style="42" customWidth="1"/>
    <col min="4868" max="4868" width="13.5703125" style="42" customWidth="1"/>
    <col min="4869" max="4869" width="12.28515625" style="42" customWidth="1"/>
    <col min="4870" max="4870" width="12.140625" style="42" customWidth="1"/>
    <col min="4871" max="4871" width="11.28515625" style="42" customWidth="1"/>
    <col min="4872" max="4872" width="13.5703125" style="42" customWidth="1"/>
    <col min="4873" max="4873" width="13.140625" style="42" customWidth="1"/>
    <col min="4874" max="4874" width="13.28515625" style="42" customWidth="1"/>
    <col min="4875" max="4875" width="13.140625" style="42" customWidth="1"/>
    <col min="4876" max="4879" width="11.5703125" style="42" customWidth="1"/>
    <col min="4880" max="5120" width="9.140625" style="42"/>
    <col min="5121" max="5121" width="5.85546875" style="42" customWidth="1"/>
    <col min="5122" max="5122" width="29.28515625" style="42" customWidth="1"/>
    <col min="5123" max="5123" width="14" style="42" customWidth="1"/>
    <col min="5124" max="5124" width="13.5703125" style="42" customWidth="1"/>
    <col min="5125" max="5125" width="12.28515625" style="42" customWidth="1"/>
    <col min="5126" max="5126" width="12.140625" style="42" customWidth="1"/>
    <col min="5127" max="5127" width="11.28515625" style="42" customWidth="1"/>
    <col min="5128" max="5128" width="13.5703125" style="42" customWidth="1"/>
    <col min="5129" max="5129" width="13.140625" style="42" customWidth="1"/>
    <col min="5130" max="5130" width="13.28515625" style="42" customWidth="1"/>
    <col min="5131" max="5131" width="13.140625" style="42" customWidth="1"/>
    <col min="5132" max="5135" width="11.5703125" style="42" customWidth="1"/>
    <col min="5136" max="5376" width="9.140625" style="42"/>
    <col min="5377" max="5377" width="5.85546875" style="42" customWidth="1"/>
    <col min="5378" max="5378" width="29.28515625" style="42" customWidth="1"/>
    <col min="5379" max="5379" width="14" style="42" customWidth="1"/>
    <col min="5380" max="5380" width="13.5703125" style="42" customWidth="1"/>
    <col min="5381" max="5381" width="12.28515625" style="42" customWidth="1"/>
    <col min="5382" max="5382" width="12.140625" style="42" customWidth="1"/>
    <col min="5383" max="5383" width="11.28515625" style="42" customWidth="1"/>
    <col min="5384" max="5384" width="13.5703125" style="42" customWidth="1"/>
    <col min="5385" max="5385" width="13.140625" style="42" customWidth="1"/>
    <col min="5386" max="5386" width="13.28515625" style="42" customWidth="1"/>
    <col min="5387" max="5387" width="13.140625" style="42" customWidth="1"/>
    <col min="5388" max="5391" width="11.5703125" style="42" customWidth="1"/>
    <col min="5392" max="5632" width="9.140625" style="42"/>
    <col min="5633" max="5633" width="5.85546875" style="42" customWidth="1"/>
    <col min="5634" max="5634" width="29.28515625" style="42" customWidth="1"/>
    <col min="5635" max="5635" width="14" style="42" customWidth="1"/>
    <col min="5636" max="5636" width="13.5703125" style="42" customWidth="1"/>
    <col min="5637" max="5637" width="12.28515625" style="42" customWidth="1"/>
    <col min="5638" max="5638" width="12.140625" style="42" customWidth="1"/>
    <col min="5639" max="5639" width="11.28515625" style="42" customWidth="1"/>
    <col min="5640" max="5640" width="13.5703125" style="42" customWidth="1"/>
    <col min="5641" max="5641" width="13.140625" style="42" customWidth="1"/>
    <col min="5642" max="5642" width="13.28515625" style="42" customWidth="1"/>
    <col min="5643" max="5643" width="13.140625" style="42" customWidth="1"/>
    <col min="5644" max="5647" width="11.5703125" style="42" customWidth="1"/>
    <col min="5648" max="5888" width="9.140625" style="42"/>
    <col min="5889" max="5889" width="5.85546875" style="42" customWidth="1"/>
    <col min="5890" max="5890" width="29.28515625" style="42" customWidth="1"/>
    <col min="5891" max="5891" width="14" style="42" customWidth="1"/>
    <col min="5892" max="5892" width="13.5703125" style="42" customWidth="1"/>
    <col min="5893" max="5893" width="12.28515625" style="42" customWidth="1"/>
    <col min="5894" max="5894" width="12.140625" style="42" customWidth="1"/>
    <col min="5895" max="5895" width="11.28515625" style="42" customWidth="1"/>
    <col min="5896" max="5896" width="13.5703125" style="42" customWidth="1"/>
    <col min="5897" max="5897" width="13.140625" style="42" customWidth="1"/>
    <col min="5898" max="5898" width="13.28515625" style="42" customWidth="1"/>
    <col min="5899" max="5899" width="13.140625" style="42" customWidth="1"/>
    <col min="5900" max="5903" width="11.5703125" style="42" customWidth="1"/>
    <col min="5904" max="6144" width="9.140625" style="42"/>
    <col min="6145" max="6145" width="5.85546875" style="42" customWidth="1"/>
    <col min="6146" max="6146" width="29.28515625" style="42" customWidth="1"/>
    <col min="6147" max="6147" width="14" style="42" customWidth="1"/>
    <col min="6148" max="6148" width="13.5703125" style="42" customWidth="1"/>
    <col min="6149" max="6149" width="12.28515625" style="42" customWidth="1"/>
    <col min="6150" max="6150" width="12.140625" style="42" customWidth="1"/>
    <col min="6151" max="6151" width="11.28515625" style="42" customWidth="1"/>
    <col min="6152" max="6152" width="13.5703125" style="42" customWidth="1"/>
    <col min="6153" max="6153" width="13.140625" style="42" customWidth="1"/>
    <col min="6154" max="6154" width="13.28515625" style="42" customWidth="1"/>
    <col min="6155" max="6155" width="13.140625" style="42" customWidth="1"/>
    <col min="6156" max="6159" width="11.5703125" style="42" customWidth="1"/>
    <col min="6160" max="6400" width="9.140625" style="42"/>
    <col min="6401" max="6401" width="5.85546875" style="42" customWidth="1"/>
    <col min="6402" max="6402" width="29.28515625" style="42" customWidth="1"/>
    <col min="6403" max="6403" width="14" style="42" customWidth="1"/>
    <col min="6404" max="6404" width="13.5703125" style="42" customWidth="1"/>
    <col min="6405" max="6405" width="12.28515625" style="42" customWidth="1"/>
    <col min="6406" max="6406" width="12.140625" style="42" customWidth="1"/>
    <col min="6407" max="6407" width="11.28515625" style="42" customWidth="1"/>
    <col min="6408" max="6408" width="13.5703125" style="42" customWidth="1"/>
    <col min="6409" max="6409" width="13.140625" style="42" customWidth="1"/>
    <col min="6410" max="6410" width="13.28515625" style="42" customWidth="1"/>
    <col min="6411" max="6411" width="13.140625" style="42" customWidth="1"/>
    <col min="6412" max="6415" width="11.5703125" style="42" customWidth="1"/>
    <col min="6416" max="6656" width="9.140625" style="42"/>
    <col min="6657" max="6657" width="5.85546875" style="42" customWidth="1"/>
    <col min="6658" max="6658" width="29.28515625" style="42" customWidth="1"/>
    <col min="6659" max="6659" width="14" style="42" customWidth="1"/>
    <col min="6660" max="6660" width="13.5703125" style="42" customWidth="1"/>
    <col min="6661" max="6661" width="12.28515625" style="42" customWidth="1"/>
    <col min="6662" max="6662" width="12.140625" style="42" customWidth="1"/>
    <col min="6663" max="6663" width="11.28515625" style="42" customWidth="1"/>
    <col min="6664" max="6664" width="13.5703125" style="42" customWidth="1"/>
    <col min="6665" max="6665" width="13.140625" style="42" customWidth="1"/>
    <col min="6666" max="6666" width="13.28515625" style="42" customWidth="1"/>
    <col min="6667" max="6667" width="13.140625" style="42" customWidth="1"/>
    <col min="6668" max="6671" width="11.5703125" style="42" customWidth="1"/>
    <col min="6672" max="6912" width="9.140625" style="42"/>
    <col min="6913" max="6913" width="5.85546875" style="42" customWidth="1"/>
    <col min="6914" max="6914" width="29.28515625" style="42" customWidth="1"/>
    <col min="6915" max="6915" width="14" style="42" customWidth="1"/>
    <col min="6916" max="6916" width="13.5703125" style="42" customWidth="1"/>
    <col min="6917" max="6917" width="12.28515625" style="42" customWidth="1"/>
    <col min="6918" max="6918" width="12.140625" style="42" customWidth="1"/>
    <col min="6919" max="6919" width="11.28515625" style="42" customWidth="1"/>
    <col min="6920" max="6920" width="13.5703125" style="42" customWidth="1"/>
    <col min="6921" max="6921" width="13.140625" style="42" customWidth="1"/>
    <col min="6922" max="6922" width="13.28515625" style="42" customWidth="1"/>
    <col min="6923" max="6923" width="13.140625" style="42" customWidth="1"/>
    <col min="6924" max="6927" width="11.5703125" style="42" customWidth="1"/>
    <col min="6928" max="7168" width="9.140625" style="42"/>
    <col min="7169" max="7169" width="5.85546875" style="42" customWidth="1"/>
    <col min="7170" max="7170" width="29.28515625" style="42" customWidth="1"/>
    <col min="7171" max="7171" width="14" style="42" customWidth="1"/>
    <col min="7172" max="7172" width="13.5703125" style="42" customWidth="1"/>
    <col min="7173" max="7173" width="12.28515625" style="42" customWidth="1"/>
    <col min="7174" max="7174" width="12.140625" style="42" customWidth="1"/>
    <col min="7175" max="7175" width="11.28515625" style="42" customWidth="1"/>
    <col min="7176" max="7176" width="13.5703125" style="42" customWidth="1"/>
    <col min="7177" max="7177" width="13.140625" style="42" customWidth="1"/>
    <col min="7178" max="7178" width="13.28515625" style="42" customWidth="1"/>
    <col min="7179" max="7179" width="13.140625" style="42" customWidth="1"/>
    <col min="7180" max="7183" width="11.5703125" style="42" customWidth="1"/>
    <col min="7184" max="7424" width="9.140625" style="42"/>
    <col min="7425" max="7425" width="5.85546875" style="42" customWidth="1"/>
    <col min="7426" max="7426" width="29.28515625" style="42" customWidth="1"/>
    <col min="7427" max="7427" width="14" style="42" customWidth="1"/>
    <col min="7428" max="7428" width="13.5703125" style="42" customWidth="1"/>
    <col min="7429" max="7429" width="12.28515625" style="42" customWidth="1"/>
    <col min="7430" max="7430" width="12.140625" style="42" customWidth="1"/>
    <col min="7431" max="7431" width="11.28515625" style="42" customWidth="1"/>
    <col min="7432" max="7432" width="13.5703125" style="42" customWidth="1"/>
    <col min="7433" max="7433" width="13.140625" style="42" customWidth="1"/>
    <col min="7434" max="7434" width="13.28515625" style="42" customWidth="1"/>
    <col min="7435" max="7435" width="13.140625" style="42" customWidth="1"/>
    <col min="7436" max="7439" width="11.5703125" style="42" customWidth="1"/>
    <col min="7440" max="7680" width="9.140625" style="42"/>
    <col min="7681" max="7681" width="5.85546875" style="42" customWidth="1"/>
    <col min="7682" max="7682" width="29.28515625" style="42" customWidth="1"/>
    <col min="7683" max="7683" width="14" style="42" customWidth="1"/>
    <col min="7684" max="7684" width="13.5703125" style="42" customWidth="1"/>
    <col min="7685" max="7685" width="12.28515625" style="42" customWidth="1"/>
    <col min="7686" max="7686" width="12.140625" style="42" customWidth="1"/>
    <col min="7687" max="7687" width="11.28515625" style="42" customWidth="1"/>
    <col min="7688" max="7688" width="13.5703125" style="42" customWidth="1"/>
    <col min="7689" max="7689" width="13.140625" style="42" customWidth="1"/>
    <col min="7690" max="7690" width="13.28515625" style="42" customWidth="1"/>
    <col min="7691" max="7691" width="13.140625" style="42" customWidth="1"/>
    <col min="7692" max="7695" width="11.5703125" style="42" customWidth="1"/>
    <col min="7696" max="7936" width="9.140625" style="42"/>
    <col min="7937" max="7937" width="5.85546875" style="42" customWidth="1"/>
    <col min="7938" max="7938" width="29.28515625" style="42" customWidth="1"/>
    <col min="7939" max="7939" width="14" style="42" customWidth="1"/>
    <col min="7940" max="7940" width="13.5703125" style="42" customWidth="1"/>
    <col min="7941" max="7941" width="12.28515625" style="42" customWidth="1"/>
    <col min="7942" max="7942" width="12.140625" style="42" customWidth="1"/>
    <col min="7943" max="7943" width="11.28515625" style="42" customWidth="1"/>
    <col min="7944" max="7944" width="13.5703125" style="42" customWidth="1"/>
    <col min="7945" max="7945" width="13.140625" style="42" customWidth="1"/>
    <col min="7946" max="7946" width="13.28515625" style="42" customWidth="1"/>
    <col min="7947" max="7947" width="13.140625" style="42" customWidth="1"/>
    <col min="7948" max="7951" width="11.5703125" style="42" customWidth="1"/>
    <col min="7952" max="8192" width="9.140625" style="42"/>
    <col min="8193" max="8193" width="5.85546875" style="42" customWidth="1"/>
    <col min="8194" max="8194" width="29.28515625" style="42" customWidth="1"/>
    <col min="8195" max="8195" width="14" style="42" customWidth="1"/>
    <col min="8196" max="8196" width="13.5703125" style="42" customWidth="1"/>
    <col min="8197" max="8197" width="12.28515625" style="42" customWidth="1"/>
    <col min="8198" max="8198" width="12.140625" style="42" customWidth="1"/>
    <col min="8199" max="8199" width="11.28515625" style="42" customWidth="1"/>
    <col min="8200" max="8200" width="13.5703125" style="42" customWidth="1"/>
    <col min="8201" max="8201" width="13.140625" style="42" customWidth="1"/>
    <col min="8202" max="8202" width="13.28515625" style="42" customWidth="1"/>
    <col min="8203" max="8203" width="13.140625" style="42" customWidth="1"/>
    <col min="8204" max="8207" width="11.5703125" style="42" customWidth="1"/>
    <col min="8208" max="8448" width="9.140625" style="42"/>
    <col min="8449" max="8449" width="5.85546875" style="42" customWidth="1"/>
    <col min="8450" max="8450" width="29.28515625" style="42" customWidth="1"/>
    <col min="8451" max="8451" width="14" style="42" customWidth="1"/>
    <col min="8452" max="8452" width="13.5703125" style="42" customWidth="1"/>
    <col min="8453" max="8453" width="12.28515625" style="42" customWidth="1"/>
    <col min="8454" max="8454" width="12.140625" style="42" customWidth="1"/>
    <col min="8455" max="8455" width="11.28515625" style="42" customWidth="1"/>
    <col min="8456" max="8456" width="13.5703125" style="42" customWidth="1"/>
    <col min="8457" max="8457" width="13.140625" style="42" customWidth="1"/>
    <col min="8458" max="8458" width="13.28515625" style="42" customWidth="1"/>
    <col min="8459" max="8459" width="13.140625" style="42" customWidth="1"/>
    <col min="8460" max="8463" width="11.5703125" style="42" customWidth="1"/>
    <col min="8464" max="8704" width="9.140625" style="42"/>
    <col min="8705" max="8705" width="5.85546875" style="42" customWidth="1"/>
    <col min="8706" max="8706" width="29.28515625" style="42" customWidth="1"/>
    <col min="8707" max="8707" width="14" style="42" customWidth="1"/>
    <col min="8708" max="8708" width="13.5703125" style="42" customWidth="1"/>
    <col min="8709" max="8709" width="12.28515625" style="42" customWidth="1"/>
    <col min="8710" max="8710" width="12.140625" style="42" customWidth="1"/>
    <col min="8711" max="8711" width="11.28515625" style="42" customWidth="1"/>
    <col min="8712" max="8712" width="13.5703125" style="42" customWidth="1"/>
    <col min="8713" max="8713" width="13.140625" style="42" customWidth="1"/>
    <col min="8714" max="8714" width="13.28515625" style="42" customWidth="1"/>
    <col min="8715" max="8715" width="13.140625" style="42" customWidth="1"/>
    <col min="8716" max="8719" width="11.5703125" style="42" customWidth="1"/>
    <col min="8720" max="8960" width="9.140625" style="42"/>
    <col min="8961" max="8961" width="5.85546875" style="42" customWidth="1"/>
    <col min="8962" max="8962" width="29.28515625" style="42" customWidth="1"/>
    <col min="8963" max="8963" width="14" style="42" customWidth="1"/>
    <col min="8964" max="8964" width="13.5703125" style="42" customWidth="1"/>
    <col min="8965" max="8965" width="12.28515625" style="42" customWidth="1"/>
    <col min="8966" max="8966" width="12.140625" style="42" customWidth="1"/>
    <col min="8967" max="8967" width="11.28515625" style="42" customWidth="1"/>
    <col min="8968" max="8968" width="13.5703125" style="42" customWidth="1"/>
    <col min="8969" max="8969" width="13.140625" style="42" customWidth="1"/>
    <col min="8970" max="8970" width="13.28515625" style="42" customWidth="1"/>
    <col min="8971" max="8971" width="13.140625" style="42" customWidth="1"/>
    <col min="8972" max="8975" width="11.5703125" style="42" customWidth="1"/>
    <col min="8976" max="9216" width="9.140625" style="42"/>
    <col min="9217" max="9217" width="5.85546875" style="42" customWidth="1"/>
    <col min="9218" max="9218" width="29.28515625" style="42" customWidth="1"/>
    <col min="9219" max="9219" width="14" style="42" customWidth="1"/>
    <col min="9220" max="9220" width="13.5703125" style="42" customWidth="1"/>
    <col min="9221" max="9221" width="12.28515625" style="42" customWidth="1"/>
    <col min="9222" max="9222" width="12.140625" style="42" customWidth="1"/>
    <col min="9223" max="9223" width="11.28515625" style="42" customWidth="1"/>
    <col min="9224" max="9224" width="13.5703125" style="42" customWidth="1"/>
    <col min="9225" max="9225" width="13.140625" style="42" customWidth="1"/>
    <col min="9226" max="9226" width="13.28515625" style="42" customWidth="1"/>
    <col min="9227" max="9227" width="13.140625" style="42" customWidth="1"/>
    <col min="9228" max="9231" width="11.5703125" style="42" customWidth="1"/>
    <col min="9232" max="9472" width="9.140625" style="42"/>
    <col min="9473" max="9473" width="5.85546875" style="42" customWidth="1"/>
    <col min="9474" max="9474" width="29.28515625" style="42" customWidth="1"/>
    <col min="9475" max="9475" width="14" style="42" customWidth="1"/>
    <col min="9476" max="9476" width="13.5703125" style="42" customWidth="1"/>
    <col min="9477" max="9477" width="12.28515625" style="42" customWidth="1"/>
    <col min="9478" max="9478" width="12.140625" style="42" customWidth="1"/>
    <col min="9479" max="9479" width="11.28515625" style="42" customWidth="1"/>
    <col min="9480" max="9480" width="13.5703125" style="42" customWidth="1"/>
    <col min="9481" max="9481" width="13.140625" style="42" customWidth="1"/>
    <col min="9482" max="9482" width="13.28515625" style="42" customWidth="1"/>
    <col min="9483" max="9483" width="13.140625" style="42" customWidth="1"/>
    <col min="9484" max="9487" width="11.5703125" style="42" customWidth="1"/>
    <col min="9488" max="9728" width="9.140625" style="42"/>
    <col min="9729" max="9729" width="5.85546875" style="42" customWidth="1"/>
    <col min="9730" max="9730" width="29.28515625" style="42" customWidth="1"/>
    <col min="9731" max="9731" width="14" style="42" customWidth="1"/>
    <col min="9732" max="9732" width="13.5703125" style="42" customWidth="1"/>
    <col min="9733" max="9733" width="12.28515625" style="42" customWidth="1"/>
    <col min="9734" max="9734" width="12.140625" style="42" customWidth="1"/>
    <col min="9735" max="9735" width="11.28515625" style="42" customWidth="1"/>
    <col min="9736" max="9736" width="13.5703125" style="42" customWidth="1"/>
    <col min="9737" max="9737" width="13.140625" style="42" customWidth="1"/>
    <col min="9738" max="9738" width="13.28515625" style="42" customWidth="1"/>
    <col min="9739" max="9739" width="13.140625" style="42" customWidth="1"/>
    <col min="9740" max="9743" width="11.5703125" style="42" customWidth="1"/>
    <col min="9744" max="9984" width="9.140625" style="42"/>
    <col min="9985" max="9985" width="5.85546875" style="42" customWidth="1"/>
    <col min="9986" max="9986" width="29.28515625" style="42" customWidth="1"/>
    <col min="9987" max="9987" width="14" style="42" customWidth="1"/>
    <col min="9988" max="9988" width="13.5703125" style="42" customWidth="1"/>
    <col min="9989" max="9989" width="12.28515625" style="42" customWidth="1"/>
    <col min="9990" max="9990" width="12.140625" style="42" customWidth="1"/>
    <col min="9991" max="9991" width="11.28515625" style="42" customWidth="1"/>
    <col min="9992" max="9992" width="13.5703125" style="42" customWidth="1"/>
    <col min="9993" max="9993" width="13.140625" style="42" customWidth="1"/>
    <col min="9994" max="9994" width="13.28515625" style="42" customWidth="1"/>
    <col min="9995" max="9995" width="13.140625" style="42" customWidth="1"/>
    <col min="9996" max="9999" width="11.5703125" style="42" customWidth="1"/>
    <col min="10000" max="10240" width="9.140625" style="42"/>
    <col min="10241" max="10241" width="5.85546875" style="42" customWidth="1"/>
    <col min="10242" max="10242" width="29.28515625" style="42" customWidth="1"/>
    <col min="10243" max="10243" width="14" style="42" customWidth="1"/>
    <col min="10244" max="10244" width="13.5703125" style="42" customWidth="1"/>
    <col min="10245" max="10245" width="12.28515625" style="42" customWidth="1"/>
    <col min="10246" max="10246" width="12.140625" style="42" customWidth="1"/>
    <col min="10247" max="10247" width="11.28515625" style="42" customWidth="1"/>
    <col min="10248" max="10248" width="13.5703125" style="42" customWidth="1"/>
    <col min="10249" max="10249" width="13.140625" style="42" customWidth="1"/>
    <col min="10250" max="10250" width="13.28515625" style="42" customWidth="1"/>
    <col min="10251" max="10251" width="13.140625" style="42" customWidth="1"/>
    <col min="10252" max="10255" width="11.5703125" style="42" customWidth="1"/>
    <col min="10256" max="10496" width="9.140625" style="42"/>
    <col min="10497" max="10497" width="5.85546875" style="42" customWidth="1"/>
    <col min="10498" max="10498" width="29.28515625" style="42" customWidth="1"/>
    <col min="10499" max="10499" width="14" style="42" customWidth="1"/>
    <col min="10500" max="10500" width="13.5703125" style="42" customWidth="1"/>
    <col min="10501" max="10501" width="12.28515625" style="42" customWidth="1"/>
    <col min="10502" max="10502" width="12.140625" style="42" customWidth="1"/>
    <col min="10503" max="10503" width="11.28515625" style="42" customWidth="1"/>
    <col min="10504" max="10504" width="13.5703125" style="42" customWidth="1"/>
    <col min="10505" max="10505" width="13.140625" style="42" customWidth="1"/>
    <col min="10506" max="10506" width="13.28515625" style="42" customWidth="1"/>
    <col min="10507" max="10507" width="13.140625" style="42" customWidth="1"/>
    <col min="10508" max="10511" width="11.5703125" style="42" customWidth="1"/>
    <col min="10512" max="10752" width="9.140625" style="42"/>
    <col min="10753" max="10753" width="5.85546875" style="42" customWidth="1"/>
    <col min="10754" max="10754" width="29.28515625" style="42" customWidth="1"/>
    <col min="10755" max="10755" width="14" style="42" customWidth="1"/>
    <col min="10756" max="10756" width="13.5703125" style="42" customWidth="1"/>
    <col min="10757" max="10757" width="12.28515625" style="42" customWidth="1"/>
    <col min="10758" max="10758" width="12.140625" style="42" customWidth="1"/>
    <col min="10759" max="10759" width="11.28515625" style="42" customWidth="1"/>
    <col min="10760" max="10760" width="13.5703125" style="42" customWidth="1"/>
    <col min="10761" max="10761" width="13.140625" style="42" customWidth="1"/>
    <col min="10762" max="10762" width="13.28515625" style="42" customWidth="1"/>
    <col min="10763" max="10763" width="13.140625" style="42" customWidth="1"/>
    <col min="10764" max="10767" width="11.5703125" style="42" customWidth="1"/>
    <col min="10768" max="11008" width="9.140625" style="42"/>
    <col min="11009" max="11009" width="5.85546875" style="42" customWidth="1"/>
    <col min="11010" max="11010" width="29.28515625" style="42" customWidth="1"/>
    <col min="11011" max="11011" width="14" style="42" customWidth="1"/>
    <col min="11012" max="11012" width="13.5703125" style="42" customWidth="1"/>
    <col min="11013" max="11013" width="12.28515625" style="42" customWidth="1"/>
    <col min="11014" max="11014" width="12.140625" style="42" customWidth="1"/>
    <col min="11015" max="11015" width="11.28515625" style="42" customWidth="1"/>
    <col min="11016" max="11016" width="13.5703125" style="42" customWidth="1"/>
    <col min="11017" max="11017" width="13.140625" style="42" customWidth="1"/>
    <col min="11018" max="11018" width="13.28515625" style="42" customWidth="1"/>
    <col min="11019" max="11019" width="13.140625" style="42" customWidth="1"/>
    <col min="11020" max="11023" width="11.5703125" style="42" customWidth="1"/>
    <col min="11024" max="11264" width="9.140625" style="42"/>
    <col min="11265" max="11265" width="5.85546875" style="42" customWidth="1"/>
    <col min="11266" max="11266" width="29.28515625" style="42" customWidth="1"/>
    <col min="11267" max="11267" width="14" style="42" customWidth="1"/>
    <col min="11268" max="11268" width="13.5703125" style="42" customWidth="1"/>
    <col min="11269" max="11269" width="12.28515625" style="42" customWidth="1"/>
    <col min="11270" max="11270" width="12.140625" style="42" customWidth="1"/>
    <col min="11271" max="11271" width="11.28515625" style="42" customWidth="1"/>
    <col min="11272" max="11272" width="13.5703125" style="42" customWidth="1"/>
    <col min="11273" max="11273" width="13.140625" style="42" customWidth="1"/>
    <col min="11274" max="11274" width="13.28515625" style="42" customWidth="1"/>
    <col min="11275" max="11275" width="13.140625" style="42" customWidth="1"/>
    <col min="11276" max="11279" width="11.5703125" style="42" customWidth="1"/>
    <col min="11280" max="11520" width="9.140625" style="42"/>
    <col min="11521" max="11521" width="5.85546875" style="42" customWidth="1"/>
    <col min="11522" max="11522" width="29.28515625" style="42" customWidth="1"/>
    <col min="11523" max="11523" width="14" style="42" customWidth="1"/>
    <col min="11524" max="11524" width="13.5703125" style="42" customWidth="1"/>
    <col min="11525" max="11525" width="12.28515625" style="42" customWidth="1"/>
    <col min="11526" max="11526" width="12.140625" style="42" customWidth="1"/>
    <col min="11527" max="11527" width="11.28515625" style="42" customWidth="1"/>
    <col min="11528" max="11528" width="13.5703125" style="42" customWidth="1"/>
    <col min="11529" max="11529" width="13.140625" style="42" customWidth="1"/>
    <col min="11530" max="11530" width="13.28515625" style="42" customWidth="1"/>
    <col min="11531" max="11531" width="13.140625" style="42" customWidth="1"/>
    <col min="11532" max="11535" width="11.5703125" style="42" customWidth="1"/>
    <col min="11536" max="11776" width="9.140625" style="42"/>
    <col min="11777" max="11777" width="5.85546875" style="42" customWidth="1"/>
    <col min="11778" max="11778" width="29.28515625" style="42" customWidth="1"/>
    <col min="11779" max="11779" width="14" style="42" customWidth="1"/>
    <col min="11780" max="11780" width="13.5703125" style="42" customWidth="1"/>
    <col min="11781" max="11781" width="12.28515625" style="42" customWidth="1"/>
    <col min="11782" max="11782" width="12.140625" style="42" customWidth="1"/>
    <col min="11783" max="11783" width="11.28515625" style="42" customWidth="1"/>
    <col min="11784" max="11784" width="13.5703125" style="42" customWidth="1"/>
    <col min="11785" max="11785" width="13.140625" style="42" customWidth="1"/>
    <col min="11786" max="11786" width="13.28515625" style="42" customWidth="1"/>
    <col min="11787" max="11787" width="13.140625" style="42" customWidth="1"/>
    <col min="11788" max="11791" width="11.5703125" style="42" customWidth="1"/>
    <col min="11792" max="12032" width="9.140625" style="42"/>
    <col min="12033" max="12033" width="5.85546875" style="42" customWidth="1"/>
    <col min="12034" max="12034" width="29.28515625" style="42" customWidth="1"/>
    <col min="12035" max="12035" width="14" style="42" customWidth="1"/>
    <col min="12036" max="12036" width="13.5703125" style="42" customWidth="1"/>
    <col min="12037" max="12037" width="12.28515625" style="42" customWidth="1"/>
    <col min="12038" max="12038" width="12.140625" style="42" customWidth="1"/>
    <col min="12039" max="12039" width="11.28515625" style="42" customWidth="1"/>
    <col min="12040" max="12040" width="13.5703125" style="42" customWidth="1"/>
    <col min="12041" max="12041" width="13.140625" style="42" customWidth="1"/>
    <col min="12042" max="12042" width="13.28515625" style="42" customWidth="1"/>
    <col min="12043" max="12043" width="13.140625" style="42" customWidth="1"/>
    <col min="12044" max="12047" width="11.5703125" style="42" customWidth="1"/>
    <col min="12048" max="12288" width="9.140625" style="42"/>
    <col min="12289" max="12289" width="5.85546875" style="42" customWidth="1"/>
    <col min="12290" max="12290" width="29.28515625" style="42" customWidth="1"/>
    <col min="12291" max="12291" width="14" style="42" customWidth="1"/>
    <col min="12292" max="12292" width="13.5703125" style="42" customWidth="1"/>
    <col min="12293" max="12293" width="12.28515625" style="42" customWidth="1"/>
    <col min="12294" max="12294" width="12.140625" style="42" customWidth="1"/>
    <col min="12295" max="12295" width="11.28515625" style="42" customWidth="1"/>
    <col min="12296" max="12296" width="13.5703125" style="42" customWidth="1"/>
    <col min="12297" max="12297" width="13.140625" style="42" customWidth="1"/>
    <col min="12298" max="12298" width="13.28515625" style="42" customWidth="1"/>
    <col min="12299" max="12299" width="13.140625" style="42" customWidth="1"/>
    <col min="12300" max="12303" width="11.5703125" style="42" customWidth="1"/>
    <col min="12304" max="12544" width="9.140625" style="42"/>
    <col min="12545" max="12545" width="5.85546875" style="42" customWidth="1"/>
    <col min="12546" max="12546" width="29.28515625" style="42" customWidth="1"/>
    <col min="12547" max="12547" width="14" style="42" customWidth="1"/>
    <col min="12548" max="12548" width="13.5703125" style="42" customWidth="1"/>
    <col min="12549" max="12549" width="12.28515625" style="42" customWidth="1"/>
    <col min="12550" max="12550" width="12.140625" style="42" customWidth="1"/>
    <col min="12551" max="12551" width="11.28515625" style="42" customWidth="1"/>
    <col min="12552" max="12552" width="13.5703125" style="42" customWidth="1"/>
    <col min="12553" max="12553" width="13.140625" style="42" customWidth="1"/>
    <col min="12554" max="12554" width="13.28515625" style="42" customWidth="1"/>
    <col min="12555" max="12555" width="13.140625" style="42" customWidth="1"/>
    <col min="12556" max="12559" width="11.5703125" style="42" customWidth="1"/>
    <col min="12560" max="12800" width="9.140625" style="42"/>
    <col min="12801" max="12801" width="5.85546875" style="42" customWidth="1"/>
    <col min="12802" max="12802" width="29.28515625" style="42" customWidth="1"/>
    <col min="12803" max="12803" width="14" style="42" customWidth="1"/>
    <col min="12804" max="12804" width="13.5703125" style="42" customWidth="1"/>
    <col min="12805" max="12805" width="12.28515625" style="42" customWidth="1"/>
    <col min="12806" max="12806" width="12.140625" style="42" customWidth="1"/>
    <col min="12807" max="12807" width="11.28515625" style="42" customWidth="1"/>
    <col min="12808" max="12808" width="13.5703125" style="42" customWidth="1"/>
    <col min="12809" max="12809" width="13.140625" style="42" customWidth="1"/>
    <col min="12810" max="12810" width="13.28515625" style="42" customWidth="1"/>
    <col min="12811" max="12811" width="13.140625" style="42" customWidth="1"/>
    <col min="12812" max="12815" width="11.5703125" style="42" customWidth="1"/>
    <col min="12816" max="13056" width="9.140625" style="42"/>
    <col min="13057" max="13057" width="5.85546875" style="42" customWidth="1"/>
    <col min="13058" max="13058" width="29.28515625" style="42" customWidth="1"/>
    <col min="13059" max="13059" width="14" style="42" customWidth="1"/>
    <col min="13060" max="13060" width="13.5703125" style="42" customWidth="1"/>
    <col min="13061" max="13061" width="12.28515625" style="42" customWidth="1"/>
    <col min="13062" max="13062" width="12.140625" style="42" customWidth="1"/>
    <col min="13063" max="13063" width="11.28515625" style="42" customWidth="1"/>
    <col min="13064" max="13064" width="13.5703125" style="42" customWidth="1"/>
    <col min="13065" max="13065" width="13.140625" style="42" customWidth="1"/>
    <col min="13066" max="13066" width="13.28515625" style="42" customWidth="1"/>
    <col min="13067" max="13067" width="13.140625" style="42" customWidth="1"/>
    <col min="13068" max="13071" width="11.5703125" style="42" customWidth="1"/>
    <col min="13072" max="13312" width="9.140625" style="42"/>
    <col min="13313" max="13313" width="5.85546875" style="42" customWidth="1"/>
    <col min="13314" max="13314" width="29.28515625" style="42" customWidth="1"/>
    <col min="13315" max="13315" width="14" style="42" customWidth="1"/>
    <col min="13316" max="13316" width="13.5703125" style="42" customWidth="1"/>
    <col min="13317" max="13317" width="12.28515625" style="42" customWidth="1"/>
    <col min="13318" max="13318" width="12.140625" style="42" customWidth="1"/>
    <col min="13319" max="13319" width="11.28515625" style="42" customWidth="1"/>
    <col min="13320" max="13320" width="13.5703125" style="42" customWidth="1"/>
    <col min="13321" max="13321" width="13.140625" style="42" customWidth="1"/>
    <col min="13322" max="13322" width="13.28515625" style="42" customWidth="1"/>
    <col min="13323" max="13323" width="13.140625" style="42" customWidth="1"/>
    <col min="13324" max="13327" width="11.5703125" style="42" customWidth="1"/>
    <col min="13328" max="13568" width="9.140625" style="42"/>
    <col min="13569" max="13569" width="5.85546875" style="42" customWidth="1"/>
    <col min="13570" max="13570" width="29.28515625" style="42" customWidth="1"/>
    <col min="13571" max="13571" width="14" style="42" customWidth="1"/>
    <col min="13572" max="13572" width="13.5703125" style="42" customWidth="1"/>
    <col min="13573" max="13573" width="12.28515625" style="42" customWidth="1"/>
    <col min="13574" max="13574" width="12.140625" style="42" customWidth="1"/>
    <col min="13575" max="13575" width="11.28515625" style="42" customWidth="1"/>
    <col min="13576" max="13576" width="13.5703125" style="42" customWidth="1"/>
    <col min="13577" max="13577" width="13.140625" style="42" customWidth="1"/>
    <col min="13578" max="13578" width="13.28515625" style="42" customWidth="1"/>
    <col min="13579" max="13579" width="13.140625" style="42" customWidth="1"/>
    <col min="13580" max="13583" width="11.5703125" style="42" customWidth="1"/>
    <col min="13584" max="13824" width="9.140625" style="42"/>
    <col min="13825" max="13825" width="5.85546875" style="42" customWidth="1"/>
    <col min="13826" max="13826" width="29.28515625" style="42" customWidth="1"/>
    <col min="13827" max="13827" width="14" style="42" customWidth="1"/>
    <col min="13828" max="13828" width="13.5703125" style="42" customWidth="1"/>
    <col min="13829" max="13829" width="12.28515625" style="42" customWidth="1"/>
    <col min="13830" max="13830" width="12.140625" style="42" customWidth="1"/>
    <col min="13831" max="13831" width="11.28515625" style="42" customWidth="1"/>
    <col min="13832" max="13832" width="13.5703125" style="42" customWidth="1"/>
    <col min="13833" max="13833" width="13.140625" style="42" customWidth="1"/>
    <col min="13834" max="13834" width="13.28515625" style="42" customWidth="1"/>
    <col min="13835" max="13835" width="13.140625" style="42" customWidth="1"/>
    <col min="13836" max="13839" width="11.5703125" style="42" customWidth="1"/>
    <col min="13840" max="14080" width="9.140625" style="42"/>
    <col min="14081" max="14081" width="5.85546875" style="42" customWidth="1"/>
    <col min="14082" max="14082" width="29.28515625" style="42" customWidth="1"/>
    <col min="14083" max="14083" width="14" style="42" customWidth="1"/>
    <col min="14084" max="14084" width="13.5703125" style="42" customWidth="1"/>
    <col min="14085" max="14085" width="12.28515625" style="42" customWidth="1"/>
    <col min="14086" max="14086" width="12.140625" style="42" customWidth="1"/>
    <col min="14087" max="14087" width="11.28515625" style="42" customWidth="1"/>
    <col min="14088" max="14088" width="13.5703125" style="42" customWidth="1"/>
    <col min="14089" max="14089" width="13.140625" style="42" customWidth="1"/>
    <col min="14090" max="14090" width="13.28515625" style="42" customWidth="1"/>
    <col min="14091" max="14091" width="13.140625" style="42" customWidth="1"/>
    <col min="14092" max="14095" width="11.5703125" style="42" customWidth="1"/>
    <col min="14096" max="14336" width="9.140625" style="42"/>
    <col min="14337" max="14337" width="5.85546875" style="42" customWidth="1"/>
    <col min="14338" max="14338" width="29.28515625" style="42" customWidth="1"/>
    <col min="14339" max="14339" width="14" style="42" customWidth="1"/>
    <col min="14340" max="14340" width="13.5703125" style="42" customWidth="1"/>
    <col min="14341" max="14341" width="12.28515625" style="42" customWidth="1"/>
    <col min="14342" max="14342" width="12.140625" style="42" customWidth="1"/>
    <col min="14343" max="14343" width="11.28515625" style="42" customWidth="1"/>
    <col min="14344" max="14344" width="13.5703125" style="42" customWidth="1"/>
    <col min="14345" max="14345" width="13.140625" style="42" customWidth="1"/>
    <col min="14346" max="14346" width="13.28515625" style="42" customWidth="1"/>
    <col min="14347" max="14347" width="13.140625" style="42" customWidth="1"/>
    <col min="14348" max="14351" width="11.5703125" style="42" customWidth="1"/>
    <col min="14352" max="14592" width="9.140625" style="42"/>
    <col min="14593" max="14593" width="5.85546875" style="42" customWidth="1"/>
    <col min="14594" max="14594" width="29.28515625" style="42" customWidth="1"/>
    <col min="14595" max="14595" width="14" style="42" customWidth="1"/>
    <col min="14596" max="14596" width="13.5703125" style="42" customWidth="1"/>
    <col min="14597" max="14597" width="12.28515625" style="42" customWidth="1"/>
    <col min="14598" max="14598" width="12.140625" style="42" customWidth="1"/>
    <col min="14599" max="14599" width="11.28515625" style="42" customWidth="1"/>
    <col min="14600" max="14600" width="13.5703125" style="42" customWidth="1"/>
    <col min="14601" max="14601" width="13.140625" style="42" customWidth="1"/>
    <col min="14602" max="14602" width="13.28515625" style="42" customWidth="1"/>
    <col min="14603" max="14603" width="13.140625" style="42" customWidth="1"/>
    <col min="14604" max="14607" width="11.5703125" style="42" customWidth="1"/>
    <col min="14608" max="14848" width="9.140625" style="42"/>
    <col min="14849" max="14849" width="5.85546875" style="42" customWidth="1"/>
    <col min="14850" max="14850" width="29.28515625" style="42" customWidth="1"/>
    <col min="14851" max="14851" width="14" style="42" customWidth="1"/>
    <col min="14852" max="14852" width="13.5703125" style="42" customWidth="1"/>
    <col min="14853" max="14853" width="12.28515625" style="42" customWidth="1"/>
    <col min="14854" max="14854" width="12.140625" style="42" customWidth="1"/>
    <col min="14855" max="14855" width="11.28515625" style="42" customWidth="1"/>
    <col min="14856" max="14856" width="13.5703125" style="42" customWidth="1"/>
    <col min="14857" max="14857" width="13.140625" style="42" customWidth="1"/>
    <col min="14858" max="14858" width="13.28515625" style="42" customWidth="1"/>
    <col min="14859" max="14859" width="13.140625" style="42" customWidth="1"/>
    <col min="14860" max="14863" width="11.5703125" style="42" customWidth="1"/>
    <col min="14864" max="15104" width="9.140625" style="42"/>
    <col min="15105" max="15105" width="5.85546875" style="42" customWidth="1"/>
    <col min="15106" max="15106" width="29.28515625" style="42" customWidth="1"/>
    <col min="15107" max="15107" width="14" style="42" customWidth="1"/>
    <col min="15108" max="15108" width="13.5703125" style="42" customWidth="1"/>
    <col min="15109" max="15109" width="12.28515625" style="42" customWidth="1"/>
    <col min="15110" max="15110" width="12.140625" style="42" customWidth="1"/>
    <col min="15111" max="15111" width="11.28515625" style="42" customWidth="1"/>
    <col min="15112" max="15112" width="13.5703125" style="42" customWidth="1"/>
    <col min="15113" max="15113" width="13.140625" style="42" customWidth="1"/>
    <col min="15114" max="15114" width="13.28515625" style="42" customWidth="1"/>
    <col min="15115" max="15115" width="13.140625" style="42" customWidth="1"/>
    <col min="15116" max="15119" width="11.5703125" style="42" customWidth="1"/>
    <col min="15120" max="15360" width="9.140625" style="42"/>
    <col min="15361" max="15361" width="5.85546875" style="42" customWidth="1"/>
    <col min="15362" max="15362" width="29.28515625" style="42" customWidth="1"/>
    <col min="15363" max="15363" width="14" style="42" customWidth="1"/>
    <col min="15364" max="15364" width="13.5703125" style="42" customWidth="1"/>
    <col min="15365" max="15365" width="12.28515625" style="42" customWidth="1"/>
    <col min="15366" max="15366" width="12.140625" style="42" customWidth="1"/>
    <col min="15367" max="15367" width="11.28515625" style="42" customWidth="1"/>
    <col min="15368" max="15368" width="13.5703125" style="42" customWidth="1"/>
    <col min="15369" max="15369" width="13.140625" style="42" customWidth="1"/>
    <col min="15370" max="15370" width="13.28515625" style="42" customWidth="1"/>
    <col min="15371" max="15371" width="13.140625" style="42" customWidth="1"/>
    <col min="15372" max="15375" width="11.5703125" style="42" customWidth="1"/>
    <col min="15376" max="15616" width="9.140625" style="42"/>
    <col min="15617" max="15617" width="5.85546875" style="42" customWidth="1"/>
    <col min="15618" max="15618" width="29.28515625" style="42" customWidth="1"/>
    <col min="15619" max="15619" width="14" style="42" customWidth="1"/>
    <col min="15620" max="15620" width="13.5703125" style="42" customWidth="1"/>
    <col min="15621" max="15621" width="12.28515625" style="42" customWidth="1"/>
    <col min="15622" max="15622" width="12.140625" style="42" customWidth="1"/>
    <col min="15623" max="15623" width="11.28515625" style="42" customWidth="1"/>
    <col min="15624" max="15624" width="13.5703125" style="42" customWidth="1"/>
    <col min="15625" max="15625" width="13.140625" style="42" customWidth="1"/>
    <col min="15626" max="15626" width="13.28515625" style="42" customWidth="1"/>
    <col min="15627" max="15627" width="13.140625" style="42" customWidth="1"/>
    <col min="15628" max="15631" width="11.5703125" style="42" customWidth="1"/>
    <col min="15632" max="15872" width="9.140625" style="42"/>
    <col min="15873" max="15873" width="5.85546875" style="42" customWidth="1"/>
    <col min="15874" max="15874" width="29.28515625" style="42" customWidth="1"/>
    <col min="15875" max="15875" width="14" style="42" customWidth="1"/>
    <col min="15876" max="15876" width="13.5703125" style="42" customWidth="1"/>
    <col min="15877" max="15877" width="12.28515625" style="42" customWidth="1"/>
    <col min="15878" max="15878" width="12.140625" style="42" customWidth="1"/>
    <col min="15879" max="15879" width="11.28515625" style="42" customWidth="1"/>
    <col min="15880" max="15880" width="13.5703125" style="42" customWidth="1"/>
    <col min="15881" max="15881" width="13.140625" style="42" customWidth="1"/>
    <col min="15882" max="15882" width="13.28515625" style="42" customWidth="1"/>
    <col min="15883" max="15883" width="13.140625" style="42" customWidth="1"/>
    <col min="15884" max="15887" width="11.5703125" style="42" customWidth="1"/>
    <col min="15888" max="16128" width="9.140625" style="42"/>
    <col min="16129" max="16129" width="5.85546875" style="42" customWidth="1"/>
    <col min="16130" max="16130" width="29.28515625" style="42" customWidth="1"/>
    <col min="16131" max="16131" width="14" style="42" customWidth="1"/>
    <col min="16132" max="16132" width="13.5703125" style="42" customWidth="1"/>
    <col min="16133" max="16133" width="12.28515625" style="42" customWidth="1"/>
    <col min="16134" max="16134" width="12.140625" style="42" customWidth="1"/>
    <col min="16135" max="16135" width="11.28515625" style="42" customWidth="1"/>
    <col min="16136" max="16136" width="13.5703125" style="42" customWidth="1"/>
    <col min="16137" max="16137" width="13.140625" style="42" customWidth="1"/>
    <col min="16138" max="16138" width="13.28515625" style="42" customWidth="1"/>
    <col min="16139" max="16139" width="13.140625" style="42" customWidth="1"/>
    <col min="16140" max="16143" width="11.5703125" style="42" customWidth="1"/>
    <col min="16144" max="16384" width="9.140625" style="42"/>
  </cols>
  <sheetData>
    <row r="1" spans="1:15" ht="21" customHeight="1">
      <c r="A1" s="40"/>
      <c r="B1" s="40"/>
      <c r="C1" s="69"/>
      <c r="D1" s="69"/>
      <c r="E1" s="69"/>
      <c r="F1" s="69"/>
      <c r="G1" s="69"/>
      <c r="H1" s="69"/>
      <c r="I1" s="69"/>
      <c r="J1" s="69"/>
      <c r="K1" s="69"/>
      <c r="L1" s="1071" t="s">
        <v>624</v>
      </c>
      <c r="M1" s="1071"/>
      <c r="N1" s="1071"/>
      <c r="O1" s="1071"/>
    </row>
    <row r="2" spans="1:15" ht="21" customHeight="1">
      <c r="A2" s="1022" t="s">
        <v>625</v>
      </c>
      <c r="B2" s="1022"/>
      <c r="C2" s="1022"/>
      <c r="D2" s="1022"/>
      <c r="E2" s="1022"/>
      <c r="F2" s="1022"/>
      <c r="G2" s="1022"/>
      <c r="H2" s="1022"/>
      <c r="I2" s="1022"/>
      <c r="J2" s="1022"/>
      <c r="K2" s="1022"/>
      <c r="L2" s="1022"/>
      <c r="M2" s="1022"/>
      <c r="N2" s="1022"/>
      <c r="O2" s="1022"/>
    </row>
    <row r="3" spans="1:15" ht="21" customHeight="1">
      <c r="A3" s="1072" t="s">
        <v>626</v>
      </c>
      <c r="B3" s="1072"/>
      <c r="C3" s="1072"/>
      <c r="D3" s="1072"/>
      <c r="E3" s="1072"/>
      <c r="F3" s="1072"/>
      <c r="G3" s="1072"/>
      <c r="H3" s="1072"/>
      <c r="I3" s="1072"/>
      <c r="J3" s="1072"/>
      <c r="K3" s="1072"/>
      <c r="L3" s="1072"/>
      <c r="M3" s="1072"/>
      <c r="N3" s="1072"/>
      <c r="O3" s="1072"/>
    </row>
    <row r="4" spans="1:15" ht="19.5" customHeight="1">
      <c r="A4" s="43"/>
      <c r="B4" s="745"/>
      <c r="C4" s="51"/>
      <c r="D4" s="51"/>
      <c r="E4" s="51"/>
      <c r="F4" s="51"/>
      <c r="G4" s="51"/>
      <c r="H4" s="51"/>
      <c r="I4" s="51"/>
      <c r="J4" s="51"/>
      <c r="K4" s="51"/>
      <c r="L4" s="51"/>
      <c r="M4" s="58"/>
      <c r="N4" s="58"/>
      <c r="O4" s="44" t="s">
        <v>2</v>
      </c>
    </row>
    <row r="5" spans="1:15" s="45" customFormat="1" ht="23.25" customHeight="1">
      <c r="A5" s="1069" t="s">
        <v>3</v>
      </c>
      <c r="B5" s="1069" t="s">
        <v>620</v>
      </c>
      <c r="C5" s="1066" t="s">
        <v>6</v>
      </c>
      <c r="D5" s="1067"/>
      <c r="E5" s="1067"/>
      <c r="F5" s="1067"/>
      <c r="G5" s="1068"/>
      <c r="H5" s="1069" t="s">
        <v>565</v>
      </c>
      <c r="I5" s="1069"/>
      <c r="J5" s="1069"/>
      <c r="K5" s="1069"/>
      <c r="L5" s="1069" t="s">
        <v>461</v>
      </c>
      <c r="M5" s="1069"/>
      <c r="N5" s="1069"/>
      <c r="O5" s="1069"/>
    </row>
    <row r="6" spans="1:15" s="45" customFormat="1" ht="23.25" customHeight="1">
      <c r="A6" s="1069"/>
      <c r="B6" s="1069"/>
      <c r="C6" s="1069" t="s">
        <v>89</v>
      </c>
      <c r="D6" s="1066" t="s">
        <v>345</v>
      </c>
      <c r="E6" s="1067"/>
      <c r="F6" s="1067"/>
      <c r="G6" s="1068"/>
      <c r="H6" s="1069" t="s">
        <v>89</v>
      </c>
      <c r="I6" s="1069" t="s">
        <v>345</v>
      </c>
      <c r="J6" s="1069"/>
      <c r="K6" s="1069"/>
      <c r="L6" s="1069" t="s">
        <v>89</v>
      </c>
      <c r="M6" s="1069" t="s">
        <v>345</v>
      </c>
      <c r="N6" s="1069"/>
      <c r="O6" s="1069"/>
    </row>
    <row r="7" spans="1:15" s="45" customFormat="1" ht="23.25" customHeight="1">
      <c r="A7" s="1069"/>
      <c r="B7" s="1069"/>
      <c r="C7" s="1069"/>
      <c r="D7" s="1070" t="s">
        <v>467</v>
      </c>
      <c r="E7" s="1070" t="s">
        <v>595</v>
      </c>
      <c r="F7" s="1070" t="s">
        <v>619</v>
      </c>
      <c r="G7" s="1063" t="s">
        <v>515</v>
      </c>
      <c r="H7" s="1069"/>
      <c r="I7" s="1070" t="s">
        <v>467</v>
      </c>
      <c r="J7" s="1070" t="s">
        <v>595</v>
      </c>
      <c r="K7" s="1070" t="s">
        <v>619</v>
      </c>
      <c r="L7" s="1069"/>
      <c r="M7" s="1070" t="s">
        <v>467</v>
      </c>
      <c r="N7" s="1070" t="s">
        <v>595</v>
      </c>
      <c r="O7" s="1070" t="s">
        <v>619</v>
      </c>
    </row>
    <row r="8" spans="1:15" s="45" customFormat="1" ht="23.25" customHeight="1">
      <c r="A8" s="1069"/>
      <c r="B8" s="1069"/>
      <c r="C8" s="1069"/>
      <c r="D8" s="1070"/>
      <c r="E8" s="1070"/>
      <c r="F8" s="1070"/>
      <c r="G8" s="1064"/>
      <c r="H8" s="1069"/>
      <c r="I8" s="1070"/>
      <c r="J8" s="1070"/>
      <c r="K8" s="1070"/>
      <c r="L8" s="1069"/>
      <c r="M8" s="1070"/>
      <c r="N8" s="1070"/>
      <c r="O8" s="1070"/>
    </row>
    <row r="9" spans="1:15" s="45" customFormat="1" ht="23.25" customHeight="1">
      <c r="A9" s="1069"/>
      <c r="B9" s="1069"/>
      <c r="C9" s="1069"/>
      <c r="D9" s="1070"/>
      <c r="E9" s="1070"/>
      <c r="F9" s="1070"/>
      <c r="G9" s="1064"/>
      <c r="H9" s="1069"/>
      <c r="I9" s="1070"/>
      <c r="J9" s="1070"/>
      <c r="K9" s="1070"/>
      <c r="L9" s="1069"/>
      <c r="M9" s="1070"/>
      <c r="N9" s="1070"/>
      <c r="O9" s="1070"/>
    </row>
    <row r="10" spans="1:15" s="45" customFormat="1" ht="23.25" customHeight="1">
      <c r="A10" s="1069"/>
      <c r="B10" s="1069"/>
      <c r="C10" s="1069"/>
      <c r="D10" s="1070"/>
      <c r="E10" s="1070"/>
      <c r="F10" s="1070"/>
      <c r="G10" s="1064"/>
      <c r="H10" s="1069"/>
      <c r="I10" s="1070"/>
      <c r="J10" s="1070"/>
      <c r="K10" s="1070"/>
      <c r="L10" s="1069"/>
      <c r="M10" s="1070"/>
      <c r="N10" s="1070"/>
      <c r="O10" s="1070"/>
    </row>
    <row r="11" spans="1:15" s="45" customFormat="1" ht="23.25" customHeight="1">
      <c r="A11" s="1069"/>
      <c r="B11" s="1069"/>
      <c r="C11" s="1069"/>
      <c r="D11" s="1070"/>
      <c r="E11" s="1070"/>
      <c r="F11" s="1070"/>
      <c r="G11" s="1065"/>
      <c r="H11" s="1069"/>
      <c r="I11" s="1070"/>
      <c r="J11" s="1070"/>
      <c r="K11" s="1070"/>
      <c r="L11" s="1069"/>
      <c r="M11" s="1070"/>
      <c r="N11" s="1070"/>
      <c r="O11" s="1070"/>
    </row>
    <row r="12" spans="1:15" s="47" customFormat="1" ht="17.25" customHeight="1">
      <c r="A12" s="46" t="s">
        <v>10</v>
      </c>
      <c r="B12" s="46" t="s">
        <v>11</v>
      </c>
      <c r="C12" s="46">
        <v>1</v>
      </c>
      <c r="D12" s="46">
        <f>C12+1</f>
        <v>2</v>
      </c>
      <c r="E12" s="46">
        <f>D12+1</f>
        <v>3</v>
      </c>
      <c r="F12" s="46">
        <f>E12+1</f>
        <v>4</v>
      </c>
      <c r="G12" s="46">
        <v>5</v>
      </c>
      <c r="H12" s="46">
        <v>6</v>
      </c>
      <c r="I12" s="46">
        <v>7</v>
      </c>
      <c r="J12" s="46">
        <v>8</v>
      </c>
      <c r="K12" s="46">
        <v>9</v>
      </c>
      <c r="L12" s="243" t="s">
        <v>627</v>
      </c>
      <c r="M12" s="243" t="s">
        <v>628</v>
      </c>
      <c r="N12" s="243" t="s">
        <v>629</v>
      </c>
      <c r="O12" s="243" t="s">
        <v>630</v>
      </c>
    </row>
    <row r="13" spans="1:15" s="71" customFormat="1" ht="33" customHeight="1">
      <c r="A13" s="48"/>
      <c r="B13" s="48" t="s">
        <v>614</v>
      </c>
      <c r="C13" s="244">
        <f>SUM(C14:C23)</f>
        <v>4425000</v>
      </c>
      <c r="D13" s="244">
        <f t="shared" ref="D13:K13" si="0">SUM(D14:D23)</f>
        <v>4109000</v>
      </c>
      <c r="E13" s="244">
        <f t="shared" si="0"/>
        <v>0</v>
      </c>
      <c r="F13" s="244">
        <f t="shared" si="0"/>
        <v>316000</v>
      </c>
      <c r="G13" s="244">
        <f t="shared" si="0"/>
        <v>0</v>
      </c>
      <c r="H13" s="244">
        <f>SUM(H14:H23)</f>
        <v>5000000</v>
      </c>
      <c r="I13" s="244">
        <f t="shared" si="0"/>
        <v>4680000</v>
      </c>
      <c r="J13" s="244">
        <f t="shared" si="0"/>
        <v>0</v>
      </c>
      <c r="K13" s="244">
        <f t="shared" si="0"/>
        <v>320000</v>
      </c>
      <c r="L13" s="743">
        <f>H13/C13</f>
        <v>1.1299435028248588</v>
      </c>
      <c r="M13" s="743">
        <f>I13/D13</f>
        <v>1.1389632513993673</v>
      </c>
      <c r="N13" s="743"/>
      <c r="O13" s="743">
        <f>K13/F13</f>
        <v>1.0126582278481013</v>
      </c>
    </row>
    <row r="14" spans="1:15" s="51" customFormat="1" ht="33" customHeight="1">
      <c r="A14" s="55">
        <v>1</v>
      </c>
      <c r="B14" s="56" t="s">
        <v>613</v>
      </c>
      <c r="C14" s="245">
        <f>SUM(D14:F14)</f>
        <v>2678170</v>
      </c>
      <c r="D14" s="245">
        <v>2678170</v>
      </c>
      <c r="E14" s="245">
        <v>0</v>
      </c>
      <c r="F14" s="245">
        <v>0</v>
      </c>
      <c r="G14" s="245"/>
      <c r="H14" s="245">
        <f>SUM(I14:K14)</f>
        <v>3277221</v>
      </c>
      <c r="I14" s="245">
        <v>3277221</v>
      </c>
      <c r="J14" s="245"/>
      <c r="K14" s="245"/>
      <c r="L14" s="744">
        <f t="shared" ref="L14:M23" si="1">H14/C14</f>
        <v>1.2236792287270786</v>
      </c>
      <c r="M14" s="744">
        <f t="shared" si="1"/>
        <v>1.2236792287270786</v>
      </c>
      <c r="N14" s="744"/>
      <c r="O14" s="744"/>
    </row>
    <row r="15" spans="1:15" s="51" customFormat="1" ht="33" customHeight="1">
      <c r="A15" s="55">
        <f>A14+1</f>
        <v>2</v>
      </c>
      <c r="B15" s="56" t="s">
        <v>612</v>
      </c>
      <c r="C15" s="245">
        <f>SUM(D15:G15)</f>
        <v>126620</v>
      </c>
      <c r="D15" s="245">
        <v>126620</v>
      </c>
      <c r="E15" s="245">
        <v>0</v>
      </c>
      <c r="F15" s="245">
        <v>0</v>
      </c>
      <c r="G15" s="245">
        <v>0</v>
      </c>
      <c r="H15" s="245">
        <f t="shared" ref="H15:H23" si="2">SUM(I15:K15)</f>
        <v>150100</v>
      </c>
      <c r="I15" s="245">
        <v>150100</v>
      </c>
      <c r="J15" s="245"/>
      <c r="K15" s="245"/>
      <c r="L15" s="744">
        <f t="shared" si="1"/>
        <v>1.1854367398515242</v>
      </c>
      <c r="M15" s="744">
        <f t="shared" si="1"/>
        <v>1.1854367398515242</v>
      </c>
      <c r="N15" s="744"/>
      <c r="O15" s="744"/>
    </row>
    <row r="16" spans="1:15" s="51" customFormat="1" ht="33" customHeight="1">
      <c r="A16" s="55">
        <f t="shared" ref="A16:A23" si="3">A15+1</f>
        <v>3</v>
      </c>
      <c r="B16" s="56" t="s">
        <v>611</v>
      </c>
      <c r="C16" s="245">
        <f t="shared" ref="C16:C23" si="4">SUM(D16:F16)</f>
        <v>141960</v>
      </c>
      <c r="D16" s="245">
        <v>141960</v>
      </c>
      <c r="E16" s="245">
        <v>0</v>
      </c>
      <c r="F16" s="245">
        <v>0</v>
      </c>
      <c r="G16" s="245"/>
      <c r="H16" s="245">
        <f t="shared" si="2"/>
        <v>148100</v>
      </c>
      <c r="I16" s="245">
        <v>148100</v>
      </c>
      <c r="J16" s="245"/>
      <c r="K16" s="245"/>
      <c r="L16" s="744">
        <f t="shared" si="1"/>
        <v>1.0432516201746971</v>
      </c>
      <c r="M16" s="744">
        <f t="shared" si="1"/>
        <v>1.0432516201746971</v>
      </c>
      <c r="N16" s="744"/>
      <c r="O16" s="744"/>
    </row>
    <row r="17" spans="1:15" s="51" customFormat="1" ht="33" customHeight="1">
      <c r="A17" s="55">
        <f t="shared" si="3"/>
        <v>4</v>
      </c>
      <c r="B17" s="56" t="s">
        <v>610</v>
      </c>
      <c r="C17" s="245">
        <f t="shared" si="4"/>
        <v>499948</v>
      </c>
      <c r="D17" s="245">
        <v>183948</v>
      </c>
      <c r="E17" s="245">
        <v>0</v>
      </c>
      <c r="F17" s="245">
        <v>316000</v>
      </c>
      <c r="G17" s="245"/>
      <c r="H17" s="245">
        <f t="shared" si="2"/>
        <v>486579</v>
      </c>
      <c r="I17" s="245">
        <v>166579</v>
      </c>
      <c r="J17" s="245"/>
      <c r="K17" s="245">
        <v>320000</v>
      </c>
      <c r="L17" s="744">
        <f t="shared" si="1"/>
        <v>0.97325921895877177</v>
      </c>
      <c r="M17" s="744">
        <f t="shared" si="1"/>
        <v>0.90557657598886643</v>
      </c>
      <c r="N17" s="744"/>
      <c r="O17" s="744">
        <f>K17/F17</f>
        <v>1.0126582278481013</v>
      </c>
    </row>
    <row r="18" spans="1:15" s="51" customFormat="1" ht="33" customHeight="1">
      <c r="A18" s="55">
        <f t="shared" si="3"/>
        <v>5</v>
      </c>
      <c r="B18" s="56" t="s">
        <v>609</v>
      </c>
      <c r="C18" s="245">
        <f t="shared" si="4"/>
        <v>43690</v>
      </c>
      <c r="D18" s="245">
        <v>43690</v>
      </c>
      <c r="E18" s="245">
        <v>0</v>
      </c>
      <c r="F18" s="245">
        <v>0</v>
      </c>
      <c r="G18" s="245"/>
      <c r="H18" s="245">
        <f t="shared" si="2"/>
        <v>26500</v>
      </c>
      <c r="I18" s="245">
        <v>26500</v>
      </c>
      <c r="J18" s="245"/>
      <c r="K18" s="245"/>
      <c r="L18" s="744">
        <f t="shared" si="1"/>
        <v>0.60654612039368272</v>
      </c>
      <c r="M18" s="744">
        <f t="shared" si="1"/>
        <v>0.60654612039368272</v>
      </c>
      <c r="N18" s="744"/>
      <c r="O18" s="744"/>
    </row>
    <row r="19" spans="1:15" s="51" customFormat="1" ht="33" customHeight="1">
      <c r="A19" s="55">
        <f t="shared" si="3"/>
        <v>6</v>
      </c>
      <c r="B19" s="56" t="s">
        <v>608</v>
      </c>
      <c r="C19" s="245">
        <f t="shared" si="4"/>
        <v>151027</v>
      </c>
      <c r="D19" s="245">
        <v>151027</v>
      </c>
      <c r="E19" s="245">
        <v>0</v>
      </c>
      <c r="F19" s="245">
        <v>0</v>
      </c>
      <c r="G19" s="245"/>
      <c r="H19" s="245">
        <f t="shared" si="2"/>
        <v>129400</v>
      </c>
      <c r="I19" s="245">
        <v>129400</v>
      </c>
      <c r="J19" s="245"/>
      <c r="K19" s="245"/>
      <c r="L19" s="744">
        <f t="shared" si="1"/>
        <v>0.85680043965648522</v>
      </c>
      <c r="M19" s="744">
        <f t="shared" si="1"/>
        <v>0.85680043965648522</v>
      </c>
      <c r="N19" s="744"/>
      <c r="O19" s="744"/>
    </row>
    <row r="20" spans="1:15" s="51" customFormat="1" ht="33" customHeight="1">
      <c r="A20" s="55">
        <f t="shared" si="3"/>
        <v>7</v>
      </c>
      <c r="B20" s="56" t="s">
        <v>607</v>
      </c>
      <c r="C20" s="245">
        <f t="shared" si="4"/>
        <v>96910</v>
      </c>
      <c r="D20" s="245">
        <v>96910</v>
      </c>
      <c r="E20" s="245">
        <v>0</v>
      </c>
      <c r="F20" s="245">
        <v>0</v>
      </c>
      <c r="G20" s="245"/>
      <c r="H20" s="245">
        <f t="shared" si="2"/>
        <v>95800</v>
      </c>
      <c r="I20" s="245">
        <v>95800</v>
      </c>
      <c r="J20" s="245"/>
      <c r="K20" s="245"/>
      <c r="L20" s="744">
        <f t="shared" si="1"/>
        <v>0.98854607367660718</v>
      </c>
      <c r="M20" s="744">
        <f t="shared" si="1"/>
        <v>0.98854607367660718</v>
      </c>
      <c r="N20" s="744"/>
      <c r="O20" s="744"/>
    </row>
    <row r="21" spans="1:15" s="51" customFormat="1" ht="33" customHeight="1">
      <c r="A21" s="55">
        <f t="shared" si="3"/>
        <v>8</v>
      </c>
      <c r="B21" s="56" t="s">
        <v>606</v>
      </c>
      <c r="C21" s="245">
        <f t="shared" si="4"/>
        <v>103630</v>
      </c>
      <c r="D21" s="245">
        <v>103630</v>
      </c>
      <c r="E21" s="245">
        <v>0</v>
      </c>
      <c r="F21" s="245">
        <v>0</v>
      </c>
      <c r="G21" s="245"/>
      <c r="H21" s="245">
        <f t="shared" si="2"/>
        <v>87200</v>
      </c>
      <c r="I21" s="245">
        <v>87200</v>
      </c>
      <c r="J21" s="245"/>
      <c r="K21" s="245"/>
      <c r="L21" s="744">
        <f t="shared" si="1"/>
        <v>0.84145517707227635</v>
      </c>
      <c r="M21" s="744">
        <f t="shared" si="1"/>
        <v>0.84145517707227635</v>
      </c>
      <c r="N21" s="744"/>
      <c r="O21" s="744"/>
    </row>
    <row r="22" spans="1:15" s="51" customFormat="1" ht="33" customHeight="1">
      <c r="A22" s="55">
        <f t="shared" si="3"/>
        <v>9</v>
      </c>
      <c r="B22" s="56" t="s">
        <v>605</v>
      </c>
      <c r="C22" s="245">
        <f t="shared" si="4"/>
        <v>518895</v>
      </c>
      <c r="D22" s="245">
        <v>518895</v>
      </c>
      <c r="E22" s="245">
        <v>0</v>
      </c>
      <c r="F22" s="245">
        <v>0</v>
      </c>
      <c r="G22" s="245"/>
      <c r="H22" s="245">
        <f t="shared" si="2"/>
        <v>539200</v>
      </c>
      <c r="I22" s="245">
        <v>539200</v>
      </c>
      <c r="J22" s="245"/>
      <c r="K22" s="245"/>
      <c r="L22" s="744">
        <f t="shared" si="1"/>
        <v>1.0391312307885026</v>
      </c>
      <c r="M22" s="744">
        <f t="shared" si="1"/>
        <v>1.0391312307885026</v>
      </c>
      <c r="N22" s="744"/>
      <c r="O22" s="744"/>
    </row>
    <row r="23" spans="1:15" s="51" customFormat="1" ht="33" customHeight="1">
      <c r="A23" s="55">
        <f t="shared" si="3"/>
        <v>10</v>
      </c>
      <c r="B23" s="56" t="s">
        <v>604</v>
      </c>
      <c r="C23" s="245">
        <f t="shared" si="4"/>
        <v>64150</v>
      </c>
      <c r="D23" s="245">
        <v>64150</v>
      </c>
      <c r="E23" s="245">
        <v>0</v>
      </c>
      <c r="F23" s="245">
        <v>0</v>
      </c>
      <c r="G23" s="245"/>
      <c r="H23" s="245">
        <f t="shared" si="2"/>
        <v>59900</v>
      </c>
      <c r="I23" s="245">
        <v>59900</v>
      </c>
      <c r="J23" s="245"/>
      <c r="K23" s="245"/>
      <c r="L23" s="744">
        <f t="shared" si="1"/>
        <v>0.93374902572096652</v>
      </c>
      <c r="M23" s="744">
        <f t="shared" si="1"/>
        <v>0.93374902572096652</v>
      </c>
      <c r="N23" s="744"/>
      <c r="O23" s="744"/>
    </row>
    <row r="24" spans="1:15" ht="9.75" customHeight="1">
      <c r="A24" s="62"/>
      <c r="B24" s="62"/>
      <c r="C24" s="62"/>
      <c r="D24" s="62"/>
      <c r="E24" s="62"/>
      <c r="F24" s="62"/>
      <c r="G24" s="62"/>
      <c r="H24" s="62"/>
      <c r="I24" s="62"/>
      <c r="J24" s="62"/>
      <c r="K24" s="62"/>
      <c r="L24" s="62"/>
      <c r="M24" s="62"/>
      <c r="N24" s="62"/>
      <c r="O24" s="62"/>
    </row>
    <row r="25" spans="1:15" ht="29.25" customHeight="1">
      <c r="A25" s="64" t="s">
        <v>631</v>
      </c>
      <c r="B25" s="246"/>
    </row>
    <row r="26" spans="1:15" ht="15" customHeight="1">
      <c r="B26" s="247" t="s">
        <v>632</v>
      </c>
    </row>
    <row r="27" spans="1:15" ht="18.75">
      <c r="A27" s="51"/>
      <c r="B27" s="51"/>
      <c r="C27" s="51"/>
      <c r="D27" s="51"/>
      <c r="E27" s="51"/>
      <c r="F27" s="51"/>
      <c r="G27" s="51"/>
      <c r="H27" s="51"/>
      <c r="I27" s="51"/>
      <c r="J27" s="51"/>
      <c r="K27" s="51"/>
      <c r="L27" s="51"/>
      <c r="M27" s="51"/>
      <c r="N27" s="51"/>
      <c r="O27" s="51"/>
    </row>
    <row r="28" spans="1:15" ht="18.75">
      <c r="A28" s="51"/>
      <c r="B28" s="51"/>
      <c r="C28" s="51"/>
      <c r="D28" s="51"/>
      <c r="E28" s="51"/>
      <c r="F28" s="51"/>
      <c r="G28" s="51"/>
      <c r="H28" s="51"/>
      <c r="I28" s="51"/>
      <c r="J28" s="51"/>
      <c r="K28" s="51"/>
      <c r="L28" s="51"/>
      <c r="M28" s="51"/>
      <c r="N28" s="51"/>
      <c r="O28" s="51"/>
    </row>
    <row r="29" spans="1:15" ht="18.75">
      <c r="A29" s="51"/>
      <c r="B29" s="51"/>
      <c r="C29" s="51"/>
      <c r="D29" s="51"/>
      <c r="E29" s="51"/>
      <c r="F29" s="51"/>
      <c r="G29" s="51"/>
      <c r="H29" s="51"/>
      <c r="I29" s="51"/>
      <c r="J29" s="51"/>
      <c r="K29" s="51"/>
      <c r="L29" s="51"/>
      <c r="M29" s="51"/>
      <c r="N29" s="51"/>
      <c r="O29" s="51"/>
    </row>
    <row r="30" spans="1:15" ht="18.75">
      <c r="A30" s="51"/>
      <c r="B30" s="51"/>
      <c r="C30" s="51"/>
      <c r="D30" s="51"/>
      <c r="E30" s="51"/>
      <c r="F30" s="51"/>
      <c r="G30" s="51"/>
      <c r="H30" s="51"/>
      <c r="I30" s="51"/>
      <c r="J30" s="51"/>
      <c r="K30" s="51"/>
      <c r="L30" s="51"/>
      <c r="M30" s="51"/>
      <c r="N30" s="51"/>
      <c r="O30" s="51"/>
    </row>
    <row r="31" spans="1:15" ht="18.75">
      <c r="A31" s="51"/>
      <c r="B31" s="51"/>
      <c r="C31" s="51"/>
      <c r="D31" s="51"/>
      <c r="E31" s="51"/>
      <c r="F31" s="51"/>
      <c r="G31" s="51"/>
      <c r="H31" s="51"/>
      <c r="I31" s="51"/>
      <c r="J31" s="51"/>
      <c r="K31" s="51"/>
      <c r="L31" s="51"/>
      <c r="M31" s="51"/>
      <c r="N31" s="51"/>
      <c r="O31" s="51"/>
    </row>
    <row r="32" spans="1:15" ht="18.75">
      <c r="A32" s="51"/>
      <c r="B32" s="51"/>
      <c r="C32" s="51"/>
      <c r="D32" s="51"/>
      <c r="E32" s="51"/>
      <c r="F32" s="51"/>
      <c r="G32" s="51"/>
      <c r="H32" s="51"/>
      <c r="I32" s="51"/>
      <c r="J32" s="51"/>
      <c r="K32" s="51"/>
      <c r="L32" s="51"/>
      <c r="M32" s="51"/>
      <c r="N32" s="51"/>
      <c r="O32" s="51"/>
    </row>
    <row r="33" spans="1:15" ht="18.75">
      <c r="A33" s="51"/>
      <c r="B33" s="51"/>
      <c r="C33" s="51"/>
      <c r="D33" s="51"/>
      <c r="E33" s="51"/>
      <c r="F33" s="51"/>
      <c r="G33" s="51"/>
      <c r="H33" s="51"/>
      <c r="I33" s="51"/>
      <c r="J33" s="51"/>
      <c r="K33" s="51"/>
      <c r="L33" s="51"/>
      <c r="M33" s="51"/>
      <c r="N33" s="51"/>
      <c r="O33" s="51"/>
    </row>
    <row r="34" spans="1:15" ht="18.75">
      <c r="A34" s="51"/>
      <c r="B34" s="51"/>
      <c r="C34" s="51"/>
      <c r="D34" s="51"/>
      <c r="E34" s="51"/>
      <c r="F34" s="51"/>
      <c r="G34" s="51"/>
      <c r="H34" s="51"/>
      <c r="I34" s="51"/>
      <c r="J34" s="51"/>
      <c r="K34" s="51"/>
      <c r="L34" s="51"/>
      <c r="M34" s="51"/>
      <c r="N34" s="51"/>
      <c r="O34" s="51"/>
    </row>
    <row r="35" spans="1:15" ht="18.75">
      <c r="A35" s="51"/>
      <c r="B35" s="51"/>
      <c r="C35" s="51"/>
      <c r="D35" s="51"/>
      <c r="E35" s="51"/>
      <c r="F35" s="51"/>
      <c r="G35" s="51"/>
      <c r="H35" s="51"/>
      <c r="I35" s="51"/>
      <c r="J35" s="51"/>
      <c r="K35" s="51"/>
      <c r="L35" s="51"/>
      <c r="M35" s="51"/>
      <c r="N35" s="51"/>
      <c r="O35" s="51"/>
    </row>
    <row r="36" spans="1:15" ht="22.5" customHeight="1">
      <c r="A36" s="51"/>
      <c r="B36" s="51"/>
      <c r="C36" s="51"/>
      <c r="D36" s="51"/>
      <c r="E36" s="51"/>
      <c r="F36" s="51"/>
      <c r="G36" s="51"/>
      <c r="H36" s="51"/>
      <c r="I36" s="51"/>
      <c r="J36" s="51"/>
      <c r="K36" s="51"/>
      <c r="L36" s="51"/>
      <c r="M36" s="51"/>
      <c r="N36" s="51"/>
      <c r="O36" s="51"/>
    </row>
    <row r="37" spans="1:15" ht="18.75">
      <c r="A37" s="51"/>
      <c r="B37" s="51"/>
      <c r="C37" s="51"/>
      <c r="D37" s="51"/>
      <c r="E37" s="51"/>
      <c r="F37" s="51"/>
      <c r="G37" s="51"/>
      <c r="H37" s="51"/>
      <c r="I37" s="51"/>
      <c r="J37" s="51"/>
      <c r="K37" s="51"/>
      <c r="L37" s="51"/>
      <c r="M37" s="51"/>
      <c r="N37" s="51"/>
      <c r="O37" s="51"/>
    </row>
    <row r="38" spans="1:15" ht="18.75">
      <c r="A38" s="51"/>
      <c r="B38" s="51"/>
      <c r="C38" s="51"/>
      <c r="D38" s="51"/>
      <c r="E38" s="51"/>
      <c r="F38" s="51"/>
      <c r="G38" s="51"/>
      <c r="H38" s="51"/>
      <c r="I38" s="51"/>
      <c r="J38" s="51"/>
      <c r="K38" s="51"/>
      <c r="L38" s="51"/>
      <c r="M38" s="51"/>
      <c r="N38" s="51"/>
      <c r="O38" s="51"/>
    </row>
    <row r="39" spans="1:15" ht="18.75">
      <c r="A39" s="51"/>
      <c r="B39" s="51"/>
      <c r="C39" s="51"/>
      <c r="D39" s="51"/>
      <c r="E39" s="51"/>
      <c r="F39" s="51"/>
      <c r="G39" s="51"/>
      <c r="H39" s="51"/>
      <c r="I39" s="51"/>
      <c r="J39" s="51"/>
      <c r="K39" s="51"/>
      <c r="L39" s="51"/>
      <c r="M39" s="51"/>
      <c r="N39" s="51"/>
      <c r="O39" s="51"/>
    </row>
    <row r="40" spans="1:15" ht="18.75">
      <c r="A40" s="51"/>
      <c r="B40" s="51"/>
      <c r="C40" s="51"/>
      <c r="D40" s="51"/>
      <c r="E40" s="51"/>
      <c r="F40" s="51"/>
      <c r="G40" s="51"/>
      <c r="H40" s="51"/>
      <c r="I40" s="51"/>
      <c r="J40" s="51"/>
      <c r="K40" s="51"/>
      <c r="L40" s="51"/>
      <c r="M40" s="51"/>
      <c r="N40" s="51"/>
      <c r="O40" s="51"/>
    </row>
  </sheetData>
  <mergeCells count="24">
    <mergeCell ref="M7:M11"/>
    <mergeCell ref="N7:N11"/>
    <mergeCell ref="O7:O11"/>
    <mergeCell ref="H6:H11"/>
    <mergeCell ref="I6:K6"/>
    <mergeCell ref="L6:L11"/>
    <mergeCell ref="M6:O6"/>
    <mergeCell ref="J7:J11"/>
    <mergeCell ref="L1:O1"/>
    <mergeCell ref="A2:O2"/>
    <mergeCell ref="A3:O3"/>
    <mergeCell ref="A5:A11"/>
    <mergeCell ref="B5:B11"/>
    <mergeCell ref="C5:G5"/>
    <mergeCell ref="H5:K5"/>
    <mergeCell ref="L5:O5"/>
    <mergeCell ref="C6:C11"/>
    <mergeCell ref="D6:G6"/>
    <mergeCell ref="D7:D11"/>
    <mergeCell ref="E7:E11"/>
    <mergeCell ref="F7:F11"/>
    <mergeCell ref="G7:G11"/>
    <mergeCell ref="I7:I11"/>
    <mergeCell ref="K7:K11"/>
  </mergeCells>
  <printOptions horizontalCentered="1"/>
  <pageMargins left="0.31" right="0.32" top="0.44" bottom="0.24" header="0.24" footer="0.17"/>
  <pageSetup paperSize="9" scale="72" fitToHeight="5" orientation="landscape" r:id="rId1"/>
  <headerFooter alignWithMargins="0">
    <oddFooter>&amp;C&amp;".VnTime,  Italic"&amp;8
&amp;".VnTimeH,Regular"&amp;12&amp;P/&amp;N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43"/>
  <sheetViews>
    <sheetView showZeros="0" zoomScale="70" zoomScaleNormal="70" workbookViewId="0">
      <selection activeCell="AF3" sqref="AF3"/>
    </sheetView>
  </sheetViews>
  <sheetFormatPr defaultRowHeight="15.75"/>
  <cols>
    <col min="1" max="1" width="5.85546875" style="212" customWidth="1"/>
    <col min="2" max="2" width="27" style="212" customWidth="1"/>
    <col min="3" max="3" width="12.85546875" style="212" customWidth="1"/>
    <col min="4" max="4" width="12.7109375" style="212" customWidth="1"/>
    <col min="5" max="6" width="11.85546875" style="212" customWidth="1"/>
    <col min="7" max="7" width="10" style="212" customWidth="1"/>
    <col min="8" max="8" width="13.28515625" style="212" customWidth="1"/>
    <col min="9" max="14" width="11.85546875" style="212" customWidth="1"/>
    <col min="15" max="15" width="10.42578125" style="212" customWidth="1"/>
    <col min="16" max="16" width="10.5703125" style="212" bestFit="1" customWidth="1"/>
    <col min="17" max="18" width="10.42578125" style="212" bestFit="1" customWidth="1"/>
    <col min="19" max="19" width="10.5703125" style="212" bestFit="1" customWidth="1"/>
    <col min="20" max="22" width="10.42578125" style="212" bestFit="1" customWidth="1"/>
    <col min="23" max="23" width="15.42578125" style="212" customWidth="1"/>
    <col min="24" max="24" width="10.42578125" style="212" bestFit="1" customWidth="1"/>
    <col min="25" max="26" width="10.5703125" style="212" bestFit="1" customWidth="1"/>
    <col min="27" max="31" width="10.42578125" style="212" bestFit="1" customWidth="1"/>
    <col min="32" max="256" width="9.140625" style="212"/>
    <col min="257" max="257" width="5.85546875" style="212" customWidth="1"/>
    <col min="258" max="258" width="27" style="212" customWidth="1"/>
    <col min="259" max="259" width="12.85546875" style="212" customWidth="1"/>
    <col min="260" max="260" width="12.7109375" style="212" customWidth="1"/>
    <col min="261" max="262" width="11.85546875" style="212" customWidth="1"/>
    <col min="263" max="263" width="10" style="212" customWidth="1"/>
    <col min="264" max="264" width="13.28515625" style="212" customWidth="1"/>
    <col min="265" max="270" width="11.85546875" style="212" customWidth="1"/>
    <col min="271" max="271" width="10.42578125" style="212" customWidth="1"/>
    <col min="272" max="272" width="10.5703125" style="212" bestFit="1" customWidth="1"/>
    <col min="273" max="274" width="10.42578125" style="212" bestFit="1" customWidth="1"/>
    <col min="275" max="275" width="10.5703125" style="212" bestFit="1" customWidth="1"/>
    <col min="276" max="278" width="10.42578125" style="212" bestFit="1" customWidth="1"/>
    <col min="279" max="279" width="15.42578125" style="212" customWidth="1"/>
    <col min="280" max="280" width="10.42578125" style="212" bestFit="1" customWidth="1"/>
    <col min="281" max="282" width="10.5703125" style="212" bestFit="1" customWidth="1"/>
    <col min="283" max="287" width="10.42578125" style="212" bestFit="1" customWidth="1"/>
    <col min="288" max="512" width="9.140625" style="212"/>
    <col min="513" max="513" width="5.85546875" style="212" customWidth="1"/>
    <col min="514" max="514" width="27" style="212" customWidth="1"/>
    <col min="515" max="515" width="12.85546875" style="212" customWidth="1"/>
    <col min="516" max="516" width="12.7109375" style="212" customWidth="1"/>
    <col min="517" max="518" width="11.85546875" style="212" customWidth="1"/>
    <col min="519" max="519" width="10" style="212" customWidth="1"/>
    <col min="520" max="520" width="13.28515625" style="212" customWidth="1"/>
    <col min="521" max="526" width="11.85546875" style="212" customWidth="1"/>
    <col min="527" max="527" width="10.42578125" style="212" customWidth="1"/>
    <col min="528" max="528" width="10.5703125" style="212" bestFit="1" customWidth="1"/>
    <col min="529" max="530" width="10.42578125" style="212" bestFit="1" customWidth="1"/>
    <col min="531" max="531" width="10.5703125" style="212" bestFit="1" customWidth="1"/>
    <col min="532" max="534" width="10.42578125" style="212" bestFit="1" customWidth="1"/>
    <col min="535" max="535" width="15.42578125" style="212" customWidth="1"/>
    <col min="536" max="536" width="10.42578125" style="212" bestFit="1" customWidth="1"/>
    <col min="537" max="538" width="10.5703125" style="212" bestFit="1" customWidth="1"/>
    <col min="539" max="543" width="10.42578125" style="212" bestFit="1" customWidth="1"/>
    <col min="544" max="768" width="9.140625" style="212"/>
    <col min="769" max="769" width="5.85546875" style="212" customWidth="1"/>
    <col min="770" max="770" width="27" style="212" customWidth="1"/>
    <col min="771" max="771" width="12.85546875" style="212" customWidth="1"/>
    <col min="772" max="772" width="12.7109375" style="212" customWidth="1"/>
    <col min="773" max="774" width="11.85546875" style="212" customWidth="1"/>
    <col min="775" max="775" width="10" style="212" customWidth="1"/>
    <col min="776" max="776" width="13.28515625" style="212" customWidth="1"/>
    <col min="777" max="782" width="11.85546875" style="212" customWidth="1"/>
    <col min="783" max="783" width="10.42578125" style="212" customWidth="1"/>
    <col min="784" max="784" width="10.5703125" style="212" bestFit="1" customWidth="1"/>
    <col min="785" max="786" width="10.42578125" style="212" bestFit="1" customWidth="1"/>
    <col min="787" max="787" width="10.5703125" style="212" bestFit="1" customWidth="1"/>
    <col min="788" max="790" width="10.42578125" style="212" bestFit="1" customWidth="1"/>
    <col min="791" max="791" width="15.42578125" style="212" customWidth="1"/>
    <col min="792" max="792" width="10.42578125" style="212" bestFit="1" customWidth="1"/>
    <col min="793" max="794" width="10.5703125" style="212" bestFit="1" customWidth="1"/>
    <col min="795" max="799" width="10.42578125" style="212" bestFit="1" customWidth="1"/>
    <col min="800" max="1024" width="9.140625" style="212"/>
    <col min="1025" max="1025" width="5.85546875" style="212" customWidth="1"/>
    <col min="1026" max="1026" width="27" style="212" customWidth="1"/>
    <col min="1027" max="1027" width="12.85546875" style="212" customWidth="1"/>
    <col min="1028" max="1028" width="12.7109375" style="212" customWidth="1"/>
    <col min="1029" max="1030" width="11.85546875" style="212" customWidth="1"/>
    <col min="1031" max="1031" width="10" style="212" customWidth="1"/>
    <col min="1032" max="1032" width="13.28515625" style="212" customWidth="1"/>
    <col min="1033" max="1038" width="11.85546875" style="212" customWidth="1"/>
    <col min="1039" max="1039" width="10.42578125" style="212" customWidth="1"/>
    <col min="1040" max="1040" width="10.5703125" style="212" bestFit="1" customWidth="1"/>
    <col min="1041" max="1042" width="10.42578125" style="212" bestFit="1" customWidth="1"/>
    <col min="1043" max="1043" width="10.5703125" style="212" bestFit="1" customWidth="1"/>
    <col min="1044" max="1046" width="10.42578125" style="212" bestFit="1" customWidth="1"/>
    <col min="1047" max="1047" width="15.42578125" style="212" customWidth="1"/>
    <col min="1048" max="1048" width="10.42578125" style="212" bestFit="1" customWidth="1"/>
    <col min="1049" max="1050" width="10.5703125" style="212" bestFit="1" customWidth="1"/>
    <col min="1051" max="1055" width="10.42578125" style="212" bestFit="1" customWidth="1"/>
    <col min="1056" max="1280" width="9.140625" style="212"/>
    <col min="1281" max="1281" width="5.85546875" style="212" customWidth="1"/>
    <col min="1282" max="1282" width="27" style="212" customWidth="1"/>
    <col min="1283" max="1283" width="12.85546875" style="212" customWidth="1"/>
    <col min="1284" max="1284" width="12.7109375" style="212" customWidth="1"/>
    <col min="1285" max="1286" width="11.85546875" style="212" customWidth="1"/>
    <col min="1287" max="1287" width="10" style="212" customWidth="1"/>
    <col min="1288" max="1288" width="13.28515625" style="212" customWidth="1"/>
    <col min="1289" max="1294" width="11.85546875" style="212" customWidth="1"/>
    <col min="1295" max="1295" width="10.42578125" style="212" customWidth="1"/>
    <col min="1296" max="1296" width="10.5703125" style="212" bestFit="1" customWidth="1"/>
    <col min="1297" max="1298" width="10.42578125" style="212" bestFit="1" customWidth="1"/>
    <col min="1299" max="1299" width="10.5703125" style="212" bestFit="1" customWidth="1"/>
    <col min="1300" max="1302" width="10.42578125" style="212" bestFit="1" customWidth="1"/>
    <col min="1303" max="1303" width="15.42578125" style="212" customWidth="1"/>
    <col min="1304" max="1304" width="10.42578125" style="212" bestFit="1" customWidth="1"/>
    <col min="1305" max="1306" width="10.5703125" style="212" bestFit="1" customWidth="1"/>
    <col min="1307" max="1311" width="10.42578125" style="212" bestFit="1" customWidth="1"/>
    <col min="1312" max="1536" width="9.140625" style="212"/>
    <col min="1537" max="1537" width="5.85546875" style="212" customWidth="1"/>
    <col min="1538" max="1538" width="27" style="212" customWidth="1"/>
    <col min="1539" max="1539" width="12.85546875" style="212" customWidth="1"/>
    <col min="1540" max="1540" width="12.7109375" style="212" customWidth="1"/>
    <col min="1541" max="1542" width="11.85546875" style="212" customWidth="1"/>
    <col min="1543" max="1543" width="10" style="212" customWidth="1"/>
    <col min="1544" max="1544" width="13.28515625" style="212" customWidth="1"/>
    <col min="1545" max="1550" width="11.85546875" style="212" customWidth="1"/>
    <col min="1551" max="1551" width="10.42578125" style="212" customWidth="1"/>
    <col min="1552" max="1552" width="10.5703125" style="212" bestFit="1" customWidth="1"/>
    <col min="1553" max="1554" width="10.42578125" style="212" bestFit="1" customWidth="1"/>
    <col min="1555" max="1555" width="10.5703125" style="212" bestFit="1" customWidth="1"/>
    <col min="1556" max="1558" width="10.42578125" style="212" bestFit="1" customWidth="1"/>
    <col min="1559" max="1559" width="15.42578125" style="212" customWidth="1"/>
    <col min="1560" max="1560" width="10.42578125" style="212" bestFit="1" customWidth="1"/>
    <col min="1561" max="1562" width="10.5703125" style="212" bestFit="1" customWidth="1"/>
    <col min="1563" max="1567" width="10.42578125" style="212" bestFit="1" customWidth="1"/>
    <col min="1568" max="1792" width="9.140625" style="212"/>
    <col min="1793" max="1793" width="5.85546875" style="212" customWidth="1"/>
    <col min="1794" max="1794" width="27" style="212" customWidth="1"/>
    <col min="1795" max="1795" width="12.85546875" style="212" customWidth="1"/>
    <col min="1796" max="1796" width="12.7109375" style="212" customWidth="1"/>
    <col min="1797" max="1798" width="11.85546875" style="212" customWidth="1"/>
    <col min="1799" max="1799" width="10" style="212" customWidth="1"/>
    <col min="1800" max="1800" width="13.28515625" style="212" customWidth="1"/>
    <col min="1801" max="1806" width="11.85546875" style="212" customWidth="1"/>
    <col min="1807" max="1807" width="10.42578125" style="212" customWidth="1"/>
    <col min="1808" max="1808" width="10.5703125" style="212" bestFit="1" customWidth="1"/>
    <col min="1809" max="1810" width="10.42578125" style="212" bestFit="1" customWidth="1"/>
    <col min="1811" max="1811" width="10.5703125" style="212" bestFit="1" customWidth="1"/>
    <col min="1812" max="1814" width="10.42578125" style="212" bestFit="1" customWidth="1"/>
    <col min="1815" max="1815" width="15.42578125" style="212" customWidth="1"/>
    <col min="1816" max="1816" width="10.42578125" style="212" bestFit="1" customWidth="1"/>
    <col min="1817" max="1818" width="10.5703125" style="212" bestFit="1" customWidth="1"/>
    <col min="1819" max="1823" width="10.42578125" style="212" bestFit="1" customWidth="1"/>
    <col min="1824" max="2048" width="9.140625" style="212"/>
    <col min="2049" max="2049" width="5.85546875" style="212" customWidth="1"/>
    <col min="2050" max="2050" width="27" style="212" customWidth="1"/>
    <col min="2051" max="2051" width="12.85546875" style="212" customWidth="1"/>
    <col min="2052" max="2052" width="12.7109375" style="212" customWidth="1"/>
    <col min="2053" max="2054" width="11.85546875" style="212" customWidth="1"/>
    <col min="2055" max="2055" width="10" style="212" customWidth="1"/>
    <col min="2056" max="2056" width="13.28515625" style="212" customWidth="1"/>
    <col min="2057" max="2062" width="11.85546875" style="212" customWidth="1"/>
    <col min="2063" max="2063" width="10.42578125" style="212" customWidth="1"/>
    <col min="2064" max="2064" width="10.5703125" style="212" bestFit="1" customWidth="1"/>
    <col min="2065" max="2066" width="10.42578125" style="212" bestFit="1" customWidth="1"/>
    <col min="2067" max="2067" width="10.5703125" style="212" bestFit="1" customWidth="1"/>
    <col min="2068" max="2070" width="10.42578125" style="212" bestFit="1" customWidth="1"/>
    <col min="2071" max="2071" width="15.42578125" style="212" customWidth="1"/>
    <col min="2072" max="2072" width="10.42578125" style="212" bestFit="1" customWidth="1"/>
    <col min="2073" max="2074" width="10.5703125" style="212" bestFit="1" customWidth="1"/>
    <col min="2075" max="2079" width="10.42578125" style="212" bestFit="1" customWidth="1"/>
    <col min="2080" max="2304" width="9.140625" style="212"/>
    <col min="2305" max="2305" width="5.85546875" style="212" customWidth="1"/>
    <col min="2306" max="2306" width="27" style="212" customWidth="1"/>
    <col min="2307" max="2307" width="12.85546875" style="212" customWidth="1"/>
    <col min="2308" max="2308" width="12.7109375" style="212" customWidth="1"/>
    <col min="2309" max="2310" width="11.85546875" style="212" customWidth="1"/>
    <col min="2311" max="2311" width="10" style="212" customWidth="1"/>
    <col min="2312" max="2312" width="13.28515625" style="212" customWidth="1"/>
    <col min="2313" max="2318" width="11.85546875" style="212" customWidth="1"/>
    <col min="2319" max="2319" width="10.42578125" style="212" customWidth="1"/>
    <col min="2320" max="2320" width="10.5703125" style="212" bestFit="1" customWidth="1"/>
    <col min="2321" max="2322" width="10.42578125" style="212" bestFit="1" customWidth="1"/>
    <col min="2323" max="2323" width="10.5703125" style="212" bestFit="1" customWidth="1"/>
    <col min="2324" max="2326" width="10.42578125" style="212" bestFit="1" customWidth="1"/>
    <col min="2327" max="2327" width="15.42578125" style="212" customWidth="1"/>
    <col min="2328" max="2328" width="10.42578125" style="212" bestFit="1" customWidth="1"/>
    <col min="2329" max="2330" width="10.5703125" style="212" bestFit="1" customWidth="1"/>
    <col min="2331" max="2335" width="10.42578125" style="212" bestFit="1" customWidth="1"/>
    <col min="2336" max="2560" width="9.140625" style="212"/>
    <col min="2561" max="2561" width="5.85546875" style="212" customWidth="1"/>
    <col min="2562" max="2562" width="27" style="212" customWidth="1"/>
    <col min="2563" max="2563" width="12.85546875" style="212" customWidth="1"/>
    <col min="2564" max="2564" width="12.7109375" style="212" customWidth="1"/>
    <col min="2565" max="2566" width="11.85546875" style="212" customWidth="1"/>
    <col min="2567" max="2567" width="10" style="212" customWidth="1"/>
    <col min="2568" max="2568" width="13.28515625" style="212" customWidth="1"/>
    <col min="2569" max="2574" width="11.85546875" style="212" customWidth="1"/>
    <col min="2575" max="2575" width="10.42578125" style="212" customWidth="1"/>
    <col min="2576" max="2576" width="10.5703125" style="212" bestFit="1" customWidth="1"/>
    <col min="2577" max="2578" width="10.42578125" style="212" bestFit="1" customWidth="1"/>
    <col min="2579" max="2579" width="10.5703125" style="212" bestFit="1" customWidth="1"/>
    <col min="2580" max="2582" width="10.42578125" style="212" bestFit="1" customWidth="1"/>
    <col min="2583" max="2583" width="15.42578125" style="212" customWidth="1"/>
    <col min="2584" max="2584" width="10.42578125" style="212" bestFit="1" customWidth="1"/>
    <col min="2585" max="2586" width="10.5703125" style="212" bestFit="1" customWidth="1"/>
    <col min="2587" max="2591" width="10.42578125" style="212" bestFit="1" customWidth="1"/>
    <col min="2592" max="2816" width="9.140625" style="212"/>
    <col min="2817" max="2817" width="5.85546875" style="212" customWidth="1"/>
    <col min="2818" max="2818" width="27" style="212" customWidth="1"/>
    <col min="2819" max="2819" width="12.85546875" style="212" customWidth="1"/>
    <col min="2820" max="2820" width="12.7109375" style="212" customWidth="1"/>
    <col min="2821" max="2822" width="11.85546875" style="212" customWidth="1"/>
    <col min="2823" max="2823" width="10" style="212" customWidth="1"/>
    <col min="2824" max="2824" width="13.28515625" style="212" customWidth="1"/>
    <col min="2825" max="2830" width="11.85546875" style="212" customWidth="1"/>
    <col min="2831" max="2831" width="10.42578125" style="212" customWidth="1"/>
    <col min="2832" max="2832" width="10.5703125" style="212" bestFit="1" customWidth="1"/>
    <col min="2833" max="2834" width="10.42578125" style="212" bestFit="1" customWidth="1"/>
    <col min="2835" max="2835" width="10.5703125" style="212" bestFit="1" customWidth="1"/>
    <col min="2836" max="2838" width="10.42578125" style="212" bestFit="1" customWidth="1"/>
    <col min="2839" max="2839" width="15.42578125" style="212" customWidth="1"/>
    <col min="2840" max="2840" width="10.42578125" style="212" bestFit="1" customWidth="1"/>
    <col min="2841" max="2842" width="10.5703125" style="212" bestFit="1" customWidth="1"/>
    <col min="2843" max="2847" width="10.42578125" style="212" bestFit="1" customWidth="1"/>
    <col min="2848" max="3072" width="9.140625" style="212"/>
    <col min="3073" max="3073" width="5.85546875" style="212" customWidth="1"/>
    <col min="3074" max="3074" width="27" style="212" customWidth="1"/>
    <col min="3075" max="3075" width="12.85546875" style="212" customWidth="1"/>
    <col min="3076" max="3076" width="12.7109375" style="212" customWidth="1"/>
    <col min="3077" max="3078" width="11.85546875" style="212" customWidth="1"/>
    <col min="3079" max="3079" width="10" style="212" customWidth="1"/>
    <col min="3080" max="3080" width="13.28515625" style="212" customWidth="1"/>
    <col min="3081" max="3086" width="11.85546875" style="212" customWidth="1"/>
    <col min="3087" max="3087" width="10.42578125" style="212" customWidth="1"/>
    <col min="3088" max="3088" width="10.5703125" style="212" bestFit="1" customWidth="1"/>
    <col min="3089" max="3090" width="10.42578125" style="212" bestFit="1" customWidth="1"/>
    <col min="3091" max="3091" width="10.5703125" style="212" bestFit="1" customWidth="1"/>
    <col min="3092" max="3094" width="10.42578125" style="212" bestFit="1" customWidth="1"/>
    <col min="3095" max="3095" width="15.42578125" style="212" customWidth="1"/>
    <col min="3096" max="3096" width="10.42578125" style="212" bestFit="1" customWidth="1"/>
    <col min="3097" max="3098" width="10.5703125" style="212" bestFit="1" customWidth="1"/>
    <col min="3099" max="3103" width="10.42578125" style="212" bestFit="1" customWidth="1"/>
    <col min="3104" max="3328" width="9.140625" style="212"/>
    <col min="3329" max="3329" width="5.85546875" style="212" customWidth="1"/>
    <col min="3330" max="3330" width="27" style="212" customWidth="1"/>
    <col min="3331" max="3331" width="12.85546875" style="212" customWidth="1"/>
    <col min="3332" max="3332" width="12.7109375" style="212" customWidth="1"/>
    <col min="3333" max="3334" width="11.85546875" style="212" customWidth="1"/>
    <col min="3335" max="3335" width="10" style="212" customWidth="1"/>
    <col min="3336" max="3336" width="13.28515625" style="212" customWidth="1"/>
    <col min="3337" max="3342" width="11.85546875" style="212" customWidth="1"/>
    <col min="3343" max="3343" width="10.42578125" style="212" customWidth="1"/>
    <col min="3344" max="3344" width="10.5703125" style="212" bestFit="1" customWidth="1"/>
    <col min="3345" max="3346" width="10.42578125" style="212" bestFit="1" customWidth="1"/>
    <col min="3347" max="3347" width="10.5703125" style="212" bestFit="1" customWidth="1"/>
    <col min="3348" max="3350" width="10.42578125" style="212" bestFit="1" customWidth="1"/>
    <col min="3351" max="3351" width="15.42578125" style="212" customWidth="1"/>
    <col min="3352" max="3352" width="10.42578125" style="212" bestFit="1" customWidth="1"/>
    <col min="3353" max="3354" width="10.5703125" style="212" bestFit="1" customWidth="1"/>
    <col min="3355" max="3359" width="10.42578125" style="212" bestFit="1" customWidth="1"/>
    <col min="3360" max="3584" width="9.140625" style="212"/>
    <col min="3585" max="3585" width="5.85546875" style="212" customWidth="1"/>
    <col min="3586" max="3586" width="27" style="212" customWidth="1"/>
    <col min="3587" max="3587" width="12.85546875" style="212" customWidth="1"/>
    <col min="3588" max="3588" width="12.7109375" style="212" customWidth="1"/>
    <col min="3589" max="3590" width="11.85546875" style="212" customWidth="1"/>
    <col min="3591" max="3591" width="10" style="212" customWidth="1"/>
    <col min="3592" max="3592" width="13.28515625" style="212" customWidth="1"/>
    <col min="3593" max="3598" width="11.85546875" style="212" customWidth="1"/>
    <col min="3599" max="3599" width="10.42578125" style="212" customWidth="1"/>
    <col min="3600" max="3600" width="10.5703125" style="212" bestFit="1" customWidth="1"/>
    <col min="3601" max="3602" width="10.42578125" style="212" bestFit="1" customWidth="1"/>
    <col min="3603" max="3603" width="10.5703125" style="212" bestFit="1" customWidth="1"/>
    <col min="3604" max="3606" width="10.42578125" style="212" bestFit="1" customWidth="1"/>
    <col min="3607" max="3607" width="15.42578125" style="212" customWidth="1"/>
    <col min="3608" max="3608" width="10.42578125" style="212" bestFit="1" customWidth="1"/>
    <col min="3609" max="3610" width="10.5703125" style="212" bestFit="1" customWidth="1"/>
    <col min="3611" max="3615" width="10.42578125" style="212" bestFit="1" customWidth="1"/>
    <col min="3616" max="3840" width="9.140625" style="212"/>
    <col min="3841" max="3841" width="5.85546875" style="212" customWidth="1"/>
    <col min="3842" max="3842" width="27" style="212" customWidth="1"/>
    <col min="3843" max="3843" width="12.85546875" style="212" customWidth="1"/>
    <col min="3844" max="3844" width="12.7109375" style="212" customWidth="1"/>
    <col min="3845" max="3846" width="11.85546875" style="212" customWidth="1"/>
    <col min="3847" max="3847" width="10" style="212" customWidth="1"/>
    <col min="3848" max="3848" width="13.28515625" style="212" customWidth="1"/>
    <col min="3849" max="3854" width="11.85546875" style="212" customWidth="1"/>
    <col min="3855" max="3855" width="10.42578125" style="212" customWidth="1"/>
    <col min="3856" max="3856" width="10.5703125" style="212" bestFit="1" customWidth="1"/>
    <col min="3857" max="3858" width="10.42578125" style="212" bestFit="1" customWidth="1"/>
    <col min="3859" max="3859" width="10.5703125" style="212" bestFit="1" customWidth="1"/>
    <col min="3860" max="3862" width="10.42578125" style="212" bestFit="1" customWidth="1"/>
    <col min="3863" max="3863" width="15.42578125" style="212" customWidth="1"/>
    <col min="3864" max="3864" width="10.42578125" style="212" bestFit="1" customWidth="1"/>
    <col min="3865" max="3866" width="10.5703125" style="212" bestFit="1" customWidth="1"/>
    <col min="3867" max="3871" width="10.42578125" style="212" bestFit="1" customWidth="1"/>
    <col min="3872" max="4096" width="9.140625" style="212"/>
    <col min="4097" max="4097" width="5.85546875" style="212" customWidth="1"/>
    <col min="4098" max="4098" width="27" style="212" customWidth="1"/>
    <col min="4099" max="4099" width="12.85546875" style="212" customWidth="1"/>
    <col min="4100" max="4100" width="12.7109375" style="212" customWidth="1"/>
    <col min="4101" max="4102" width="11.85546875" style="212" customWidth="1"/>
    <col min="4103" max="4103" width="10" style="212" customWidth="1"/>
    <col min="4104" max="4104" width="13.28515625" style="212" customWidth="1"/>
    <col min="4105" max="4110" width="11.85546875" style="212" customWidth="1"/>
    <col min="4111" max="4111" width="10.42578125" style="212" customWidth="1"/>
    <col min="4112" max="4112" width="10.5703125" style="212" bestFit="1" customWidth="1"/>
    <col min="4113" max="4114" width="10.42578125" style="212" bestFit="1" customWidth="1"/>
    <col min="4115" max="4115" width="10.5703125" style="212" bestFit="1" customWidth="1"/>
    <col min="4116" max="4118" width="10.42578125" style="212" bestFit="1" customWidth="1"/>
    <col min="4119" max="4119" width="15.42578125" style="212" customWidth="1"/>
    <col min="4120" max="4120" width="10.42578125" style="212" bestFit="1" customWidth="1"/>
    <col min="4121" max="4122" width="10.5703125" style="212" bestFit="1" customWidth="1"/>
    <col min="4123" max="4127" width="10.42578125" style="212" bestFit="1" customWidth="1"/>
    <col min="4128" max="4352" width="9.140625" style="212"/>
    <col min="4353" max="4353" width="5.85546875" style="212" customWidth="1"/>
    <col min="4354" max="4354" width="27" style="212" customWidth="1"/>
    <col min="4355" max="4355" width="12.85546875" style="212" customWidth="1"/>
    <col min="4356" max="4356" width="12.7109375" style="212" customWidth="1"/>
    <col min="4357" max="4358" width="11.85546875" style="212" customWidth="1"/>
    <col min="4359" max="4359" width="10" style="212" customWidth="1"/>
    <col min="4360" max="4360" width="13.28515625" style="212" customWidth="1"/>
    <col min="4361" max="4366" width="11.85546875" style="212" customWidth="1"/>
    <col min="4367" max="4367" width="10.42578125" style="212" customWidth="1"/>
    <col min="4368" max="4368" width="10.5703125" style="212" bestFit="1" customWidth="1"/>
    <col min="4369" max="4370" width="10.42578125" style="212" bestFit="1" customWidth="1"/>
    <col min="4371" max="4371" width="10.5703125" style="212" bestFit="1" customWidth="1"/>
    <col min="4372" max="4374" width="10.42578125" style="212" bestFit="1" customWidth="1"/>
    <col min="4375" max="4375" width="15.42578125" style="212" customWidth="1"/>
    <col min="4376" max="4376" width="10.42578125" style="212" bestFit="1" customWidth="1"/>
    <col min="4377" max="4378" width="10.5703125" style="212" bestFit="1" customWidth="1"/>
    <col min="4379" max="4383" width="10.42578125" style="212" bestFit="1" customWidth="1"/>
    <col min="4384" max="4608" width="9.140625" style="212"/>
    <col min="4609" max="4609" width="5.85546875" style="212" customWidth="1"/>
    <col min="4610" max="4610" width="27" style="212" customWidth="1"/>
    <col min="4611" max="4611" width="12.85546875" style="212" customWidth="1"/>
    <col min="4612" max="4612" width="12.7109375" style="212" customWidth="1"/>
    <col min="4613" max="4614" width="11.85546875" style="212" customWidth="1"/>
    <col min="4615" max="4615" width="10" style="212" customWidth="1"/>
    <col min="4616" max="4616" width="13.28515625" style="212" customWidth="1"/>
    <col min="4617" max="4622" width="11.85546875" style="212" customWidth="1"/>
    <col min="4623" max="4623" width="10.42578125" style="212" customWidth="1"/>
    <col min="4624" max="4624" width="10.5703125" style="212" bestFit="1" customWidth="1"/>
    <col min="4625" max="4626" width="10.42578125" style="212" bestFit="1" customWidth="1"/>
    <col min="4627" max="4627" width="10.5703125" style="212" bestFit="1" customWidth="1"/>
    <col min="4628" max="4630" width="10.42578125" style="212" bestFit="1" customWidth="1"/>
    <col min="4631" max="4631" width="15.42578125" style="212" customWidth="1"/>
    <col min="4632" max="4632" width="10.42578125" style="212" bestFit="1" customWidth="1"/>
    <col min="4633" max="4634" width="10.5703125" style="212" bestFit="1" customWidth="1"/>
    <col min="4635" max="4639" width="10.42578125" style="212" bestFit="1" customWidth="1"/>
    <col min="4640" max="4864" width="9.140625" style="212"/>
    <col min="4865" max="4865" width="5.85546875" style="212" customWidth="1"/>
    <col min="4866" max="4866" width="27" style="212" customWidth="1"/>
    <col min="4867" max="4867" width="12.85546875" style="212" customWidth="1"/>
    <col min="4868" max="4868" width="12.7109375" style="212" customWidth="1"/>
    <col min="4869" max="4870" width="11.85546875" style="212" customWidth="1"/>
    <col min="4871" max="4871" width="10" style="212" customWidth="1"/>
    <col min="4872" max="4872" width="13.28515625" style="212" customWidth="1"/>
    <col min="4873" max="4878" width="11.85546875" style="212" customWidth="1"/>
    <col min="4879" max="4879" width="10.42578125" style="212" customWidth="1"/>
    <col min="4880" max="4880" width="10.5703125" style="212" bestFit="1" customWidth="1"/>
    <col min="4881" max="4882" width="10.42578125" style="212" bestFit="1" customWidth="1"/>
    <col min="4883" max="4883" width="10.5703125" style="212" bestFit="1" customWidth="1"/>
    <col min="4884" max="4886" width="10.42578125" style="212" bestFit="1" customWidth="1"/>
    <col min="4887" max="4887" width="15.42578125" style="212" customWidth="1"/>
    <col min="4888" max="4888" width="10.42578125" style="212" bestFit="1" customWidth="1"/>
    <col min="4889" max="4890" width="10.5703125" style="212" bestFit="1" customWidth="1"/>
    <col min="4891" max="4895" width="10.42578125" style="212" bestFit="1" customWidth="1"/>
    <col min="4896" max="5120" width="9.140625" style="212"/>
    <col min="5121" max="5121" width="5.85546875" style="212" customWidth="1"/>
    <col min="5122" max="5122" width="27" style="212" customWidth="1"/>
    <col min="5123" max="5123" width="12.85546875" style="212" customWidth="1"/>
    <col min="5124" max="5124" width="12.7109375" style="212" customWidth="1"/>
    <col min="5125" max="5126" width="11.85546875" style="212" customWidth="1"/>
    <col min="5127" max="5127" width="10" style="212" customWidth="1"/>
    <col min="5128" max="5128" width="13.28515625" style="212" customWidth="1"/>
    <col min="5129" max="5134" width="11.85546875" style="212" customWidth="1"/>
    <col min="5135" max="5135" width="10.42578125" style="212" customWidth="1"/>
    <col min="5136" max="5136" width="10.5703125" style="212" bestFit="1" customWidth="1"/>
    <col min="5137" max="5138" width="10.42578125" style="212" bestFit="1" customWidth="1"/>
    <col min="5139" max="5139" width="10.5703125" style="212" bestFit="1" customWidth="1"/>
    <col min="5140" max="5142" width="10.42578125" style="212" bestFit="1" customWidth="1"/>
    <col min="5143" max="5143" width="15.42578125" style="212" customWidth="1"/>
    <col min="5144" max="5144" width="10.42578125" style="212" bestFit="1" customWidth="1"/>
    <col min="5145" max="5146" width="10.5703125" style="212" bestFit="1" customWidth="1"/>
    <col min="5147" max="5151" width="10.42578125" style="212" bestFit="1" customWidth="1"/>
    <col min="5152" max="5376" width="9.140625" style="212"/>
    <col min="5377" max="5377" width="5.85546875" style="212" customWidth="1"/>
    <col min="5378" max="5378" width="27" style="212" customWidth="1"/>
    <col min="5379" max="5379" width="12.85546875" style="212" customWidth="1"/>
    <col min="5380" max="5380" width="12.7109375" style="212" customWidth="1"/>
    <col min="5381" max="5382" width="11.85546875" style="212" customWidth="1"/>
    <col min="5383" max="5383" width="10" style="212" customWidth="1"/>
    <col min="5384" max="5384" width="13.28515625" style="212" customWidth="1"/>
    <col min="5385" max="5390" width="11.85546875" style="212" customWidth="1"/>
    <col min="5391" max="5391" width="10.42578125" style="212" customWidth="1"/>
    <col min="5392" max="5392" width="10.5703125" style="212" bestFit="1" customWidth="1"/>
    <col min="5393" max="5394" width="10.42578125" style="212" bestFit="1" customWidth="1"/>
    <col min="5395" max="5395" width="10.5703125" style="212" bestFit="1" customWidth="1"/>
    <col min="5396" max="5398" width="10.42578125" style="212" bestFit="1" customWidth="1"/>
    <col min="5399" max="5399" width="15.42578125" style="212" customWidth="1"/>
    <col min="5400" max="5400" width="10.42578125" style="212" bestFit="1" customWidth="1"/>
    <col min="5401" max="5402" width="10.5703125" style="212" bestFit="1" customWidth="1"/>
    <col min="5403" max="5407" width="10.42578125" style="212" bestFit="1" customWidth="1"/>
    <col min="5408" max="5632" width="9.140625" style="212"/>
    <col min="5633" max="5633" width="5.85546875" style="212" customWidth="1"/>
    <col min="5634" max="5634" width="27" style="212" customWidth="1"/>
    <col min="5635" max="5635" width="12.85546875" style="212" customWidth="1"/>
    <col min="5636" max="5636" width="12.7109375" style="212" customWidth="1"/>
    <col min="5637" max="5638" width="11.85546875" style="212" customWidth="1"/>
    <col min="5639" max="5639" width="10" style="212" customWidth="1"/>
    <col min="5640" max="5640" width="13.28515625" style="212" customWidth="1"/>
    <col min="5641" max="5646" width="11.85546875" style="212" customWidth="1"/>
    <col min="5647" max="5647" width="10.42578125" style="212" customWidth="1"/>
    <col min="5648" max="5648" width="10.5703125" style="212" bestFit="1" customWidth="1"/>
    <col min="5649" max="5650" width="10.42578125" style="212" bestFit="1" customWidth="1"/>
    <col min="5651" max="5651" width="10.5703125" style="212" bestFit="1" customWidth="1"/>
    <col min="5652" max="5654" width="10.42578125" style="212" bestFit="1" customWidth="1"/>
    <col min="5655" max="5655" width="15.42578125" style="212" customWidth="1"/>
    <col min="5656" max="5656" width="10.42578125" style="212" bestFit="1" customWidth="1"/>
    <col min="5657" max="5658" width="10.5703125" style="212" bestFit="1" customWidth="1"/>
    <col min="5659" max="5663" width="10.42578125" style="212" bestFit="1" customWidth="1"/>
    <col min="5664" max="5888" width="9.140625" style="212"/>
    <col min="5889" max="5889" width="5.85546875" style="212" customWidth="1"/>
    <col min="5890" max="5890" width="27" style="212" customWidth="1"/>
    <col min="5891" max="5891" width="12.85546875" style="212" customWidth="1"/>
    <col min="5892" max="5892" width="12.7109375" style="212" customWidth="1"/>
    <col min="5893" max="5894" width="11.85546875" style="212" customWidth="1"/>
    <col min="5895" max="5895" width="10" style="212" customWidth="1"/>
    <col min="5896" max="5896" width="13.28515625" style="212" customWidth="1"/>
    <col min="5897" max="5902" width="11.85546875" style="212" customWidth="1"/>
    <col min="5903" max="5903" width="10.42578125" style="212" customWidth="1"/>
    <col min="5904" max="5904" width="10.5703125" style="212" bestFit="1" customWidth="1"/>
    <col min="5905" max="5906" width="10.42578125" style="212" bestFit="1" customWidth="1"/>
    <col min="5907" max="5907" width="10.5703125" style="212" bestFit="1" customWidth="1"/>
    <col min="5908" max="5910" width="10.42578125" style="212" bestFit="1" customWidth="1"/>
    <col min="5911" max="5911" width="15.42578125" style="212" customWidth="1"/>
    <col min="5912" max="5912" width="10.42578125" style="212" bestFit="1" customWidth="1"/>
    <col min="5913" max="5914" width="10.5703125" style="212" bestFit="1" customWidth="1"/>
    <col min="5915" max="5919" width="10.42578125" style="212" bestFit="1" customWidth="1"/>
    <col min="5920" max="6144" width="9.140625" style="212"/>
    <col min="6145" max="6145" width="5.85546875" style="212" customWidth="1"/>
    <col min="6146" max="6146" width="27" style="212" customWidth="1"/>
    <col min="6147" max="6147" width="12.85546875" style="212" customWidth="1"/>
    <col min="6148" max="6148" width="12.7109375" style="212" customWidth="1"/>
    <col min="6149" max="6150" width="11.85546875" style="212" customWidth="1"/>
    <col min="6151" max="6151" width="10" style="212" customWidth="1"/>
    <col min="6152" max="6152" width="13.28515625" style="212" customWidth="1"/>
    <col min="6153" max="6158" width="11.85546875" style="212" customWidth="1"/>
    <col min="6159" max="6159" width="10.42578125" style="212" customWidth="1"/>
    <col min="6160" max="6160" width="10.5703125" style="212" bestFit="1" customWidth="1"/>
    <col min="6161" max="6162" width="10.42578125" style="212" bestFit="1" customWidth="1"/>
    <col min="6163" max="6163" width="10.5703125" style="212" bestFit="1" customWidth="1"/>
    <col min="6164" max="6166" width="10.42578125" style="212" bestFit="1" customWidth="1"/>
    <col min="6167" max="6167" width="15.42578125" style="212" customWidth="1"/>
    <col min="6168" max="6168" width="10.42578125" style="212" bestFit="1" customWidth="1"/>
    <col min="6169" max="6170" width="10.5703125" style="212" bestFit="1" customWidth="1"/>
    <col min="6171" max="6175" width="10.42578125" style="212" bestFit="1" customWidth="1"/>
    <col min="6176" max="6400" width="9.140625" style="212"/>
    <col min="6401" max="6401" width="5.85546875" style="212" customWidth="1"/>
    <col min="6402" max="6402" width="27" style="212" customWidth="1"/>
    <col min="6403" max="6403" width="12.85546875" style="212" customWidth="1"/>
    <col min="6404" max="6404" width="12.7109375" style="212" customWidth="1"/>
    <col min="6405" max="6406" width="11.85546875" style="212" customWidth="1"/>
    <col min="6407" max="6407" width="10" style="212" customWidth="1"/>
    <col min="6408" max="6408" width="13.28515625" style="212" customWidth="1"/>
    <col min="6409" max="6414" width="11.85546875" style="212" customWidth="1"/>
    <col min="6415" max="6415" width="10.42578125" style="212" customWidth="1"/>
    <col min="6416" max="6416" width="10.5703125" style="212" bestFit="1" customWidth="1"/>
    <col min="6417" max="6418" width="10.42578125" style="212" bestFit="1" customWidth="1"/>
    <col min="6419" max="6419" width="10.5703125" style="212" bestFit="1" customWidth="1"/>
    <col min="6420" max="6422" width="10.42578125" style="212" bestFit="1" customWidth="1"/>
    <col min="6423" max="6423" width="15.42578125" style="212" customWidth="1"/>
    <col min="6424" max="6424" width="10.42578125" style="212" bestFit="1" customWidth="1"/>
    <col min="6425" max="6426" width="10.5703125" style="212" bestFit="1" customWidth="1"/>
    <col min="6427" max="6431" width="10.42578125" style="212" bestFit="1" customWidth="1"/>
    <col min="6432" max="6656" width="9.140625" style="212"/>
    <col min="6657" max="6657" width="5.85546875" style="212" customWidth="1"/>
    <col min="6658" max="6658" width="27" style="212" customWidth="1"/>
    <col min="6659" max="6659" width="12.85546875" style="212" customWidth="1"/>
    <col min="6660" max="6660" width="12.7109375" style="212" customWidth="1"/>
    <col min="6661" max="6662" width="11.85546875" style="212" customWidth="1"/>
    <col min="6663" max="6663" width="10" style="212" customWidth="1"/>
    <col min="6664" max="6664" width="13.28515625" style="212" customWidth="1"/>
    <col min="6665" max="6670" width="11.85546875" style="212" customWidth="1"/>
    <col min="6671" max="6671" width="10.42578125" style="212" customWidth="1"/>
    <col min="6672" max="6672" width="10.5703125" style="212" bestFit="1" customWidth="1"/>
    <col min="6673" max="6674" width="10.42578125" style="212" bestFit="1" customWidth="1"/>
    <col min="6675" max="6675" width="10.5703125" style="212" bestFit="1" customWidth="1"/>
    <col min="6676" max="6678" width="10.42578125" style="212" bestFit="1" customWidth="1"/>
    <col min="6679" max="6679" width="15.42578125" style="212" customWidth="1"/>
    <col min="6680" max="6680" width="10.42578125" style="212" bestFit="1" customWidth="1"/>
    <col min="6681" max="6682" width="10.5703125" style="212" bestFit="1" customWidth="1"/>
    <col min="6683" max="6687" width="10.42578125" style="212" bestFit="1" customWidth="1"/>
    <col min="6688" max="6912" width="9.140625" style="212"/>
    <col min="6913" max="6913" width="5.85546875" style="212" customWidth="1"/>
    <col min="6914" max="6914" width="27" style="212" customWidth="1"/>
    <col min="6915" max="6915" width="12.85546875" style="212" customWidth="1"/>
    <col min="6916" max="6916" width="12.7109375" style="212" customWidth="1"/>
    <col min="6917" max="6918" width="11.85546875" style="212" customWidth="1"/>
    <col min="6919" max="6919" width="10" style="212" customWidth="1"/>
    <col min="6920" max="6920" width="13.28515625" style="212" customWidth="1"/>
    <col min="6921" max="6926" width="11.85546875" style="212" customWidth="1"/>
    <col min="6927" max="6927" width="10.42578125" style="212" customWidth="1"/>
    <col min="6928" max="6928" width="10.5703125" style="212" bestFit="1" customWidth="1"/>
    <col min="6929" max="6930" width="10.42578125" style="212" bestFit="1" customWidth="1"/>
    <col min="6931" max="6931" width="10.5703125" style="212" bestFit="1" customWidth="1"/>
    <col min="6932" max="6934" width="10.42578125" style="212" bestFit="1" customWidth="1"/>
    <col min="6935" max="6935" width="15.42578125" style="212" customWidth="1"/>
    <col min="6936" max="6936" width="10.42578125" style="212" bestFit="1" customWidth="1"/>
    <col min="6937" max="6938" width="10.5703125" style="212" bestFit="1" customWidth="1"/>
    <col min="6939" max="6943" width="10.42578125" style="212" bestFit="1" customWidth="1"/>
    <col min="6944" max="7168" width="9.140625" style="212"/>
    <col min="7169" max="7169" width="5.85546875" style="212" customWidth="1"/>
    <col min="7170" max="7170" width="27" style="212" customWidth="1"/>
    <col min="7171" max="7171" width="12.85546875" style="212" customWidth="1"/>
    <col min="7172" max="7172" width="12.7109375" style="212" customWidth="1"/>
    <col min="7173" max="7174" width="11.85546875" style="212" customWidth="1"/>
    <col min="7175" max="7175" width="10" style="212" customWidth="1"/>
    <col min="7176" max="7176" width="13.28515625" style="212" customWidth="1"/>
    <col min="7177" max="7182" width="11.85546875" style="212" customWidth="1"/>
    <col min="7183" max="7183" width="10.42578125" style="212" customWidth="1"/>
    <col min="7184" max="7184" width="10.5703125" style="212" bestFit="1" customWidth="1"/>
    <col min="7185" max="7186" width="10.42578125" style="212" bestFit="1" customWidth="1"/>
    <col min="7187" max="7187" width="10.5703125" style="212" bestFit="1" customWidth="1"/>
    <col min="7188" max="7190" width="10.42578125" style="212" bestFit="1" customWidth="1"/>
    <col min="7191" max="7191" width="15.42578125" style="212" customWidth="1"/>
    <col min="7192" max="7192" width="10.42578125" style="212" bestFit="1" customWidth="1"/>
    <col min="7193" max="7194" width="10.5703125" style="212" bestFit="1" customWidth="1"/>
    <col min="7195" max="7199" width="10.42578125" style="212" bestFit="1" customWidth="1"/>
    <col min="7200" max="7424" width="9.140625" style="212"/>
    <col min="7425" max="7425" width="5.85546875" style="212" customWidth="1"/>
    <col min="7426" max="7426" width="27" style="212" customWidth="1"/>
    <col min="7427" max="7427" width="12.85546875" style="212" customWidth="1"/>
    <col min="7428" max="7428" width="12.7109375" style="212" customWidth="1"/>
    <col min="7429" max="7430" width="11.85546875" style="212" customWidth="1"/>
    <col min="7431" max="7431" width="10" style="212" customWidth="1"/>
    <col min="7432" max="7432" width="13.28515625" style="212" customWidth="1"/>
    <col min="7433" max="7438" width="11.85546875" style="212" customWidth="1"/>
    <col min="7439" max="7439" width="10.42578125" style="212" customWidth="1"/>
    <col min="7440" max="7440" width="10.5703125" style="212" bestFit="1" customWidth="1"/>
    <col min="7441" max="7442" width="10.42578125" style="212" bestFit="1" customWidth="1"/>
    <col min="7443" max="7443" width="10.5703125" style="212" bestFit="1" customWidth="1"/>
    <col min="7444" max="7446" width="10.42578125" style="212" bestFit="1" customWidth="1"/>
    <col min="7447" max="7447" width="15.42578125" style="212" customWidth="1"/>
    <col min="7448" max="7448" width="10.42578125" style="212" bestFit="1" customWidth="1"/>
    <col min="7449" max="7450" width="10.5703125" style="212" bestFit="1" customWidth="1"/>
    <col min="7451" max="7455" width="10.42578125" style="212" bestFit="1" customWidth="1"/>
    <col min="7456" max="7680" width="9.140625" style="212"/>
    <col min="7681" max="7681" width="5.85546875" style="212" customWidth="1"/>
    <col min="7682" max="7682" width="27" style="212" customWidth="1"/>
    <col min="7683" max="7683" width="12.85546875" style="212" customWidth="1"/>
    <col min="7684" max="7684" width="12.7109375" style="212" customWidth="1"/>
    <col min="7685" max="7686" width="11.85546875" style="212" customWidth="1"/>
    <col min="7687" max="7687" width="10" style="212" customWidth="1"/>
    <col min="7688" max="7688" width="13.28515625" style="212" customWidth="1"/>
    <col min="7689" max="7694" width="11.85546875" style="212" customWidth="1"/>
    <col min="7695" max="7695" width="10.42578125" style="212" customWidth="1"/>
    <col min="7696" max="7696" width="10.5703125" style="212" bestFit="1" customWidth="1"/>
    <col min="7697" max="7698" width="10.42578125" style="212" bestFit="1" customWidth="1"/>
    <col min="7699" max="7699" width="10.5703125" style="212" bestFit="1" customWidth="1"/>
    <col min="7700" max="7702" width="10.42578125" style="212" bestFit="1" customWidth="1"/>
    <col min="7703" max="7703" width="15.42578125" style="212" customWidth="1"/>
    <col min="7704" max="7704" width="10.42578125" style="212" bestFit="1" customWidth="1"/>
    <col min="7705" max="7706" width="10.5703125" style="212" bestFit="1" customWidth="1"/>
    <col min="7707" max="7711" width="10.42578125" style="212" bestFit="1" customWidth="1"/>
    <col min="7712" max="7936" width="9.140625" style="212"/>
    <col min="7937" max="7937" width="5.85546875" style="212" customWidth="1"/>
    <col min="7938" max="7938" width="27" style="212" customWidth="1"/>
    <col min="7939" max="7939" width="12.85546875" style="212" customWidth="1"/>
    <col min="7940" max="7940" width="12.7109375" style="212" customWidth="1"/>
    <col min="7941" max="7942" width="11.85546875" style="212" customWidth="1"/>
    <col min="7943" max="7943" width="10" style="212" customWidth="1"/>
    <col min="7944" max="7944" width="13.28515625" style="212" customWidth="1"/>
    <col min="7945" max="7950" width="11.85546875" style="212" customWidth="1"/>
    <col min="7951" max="7951" width="10.42578125" style="212" customWidth="1"/>
    <col min="7952" max="7952" width="10.5703125" style="212" bestFit="1" customWidth="1"/>
    <col min="7953" max="7954" width="10.42578125" style="212" bestFit="1" customWidth="1"/>
    <col min="7955" max="7955" width="10.5703125" style="212" bestFit="1" customWidth="1"/>
    <col min="7956" max="7958" width="10.42578125" style="212" bestFit="1" customWidth="1"/>
    <col min="7959" max="7959" width="15.42578125" style="212" customWidth="1"/>
    <col min="7960" max="7960" width="10.42578125" style="212" bestFit="1" customWidth="1"/>
    <col min="7961" max="7962" width="10.5703125" style="212" bestFit="1" customWidth="1"/>
    <col min="7963" max="7967" width="10.42578125" style="212" bestFit="1" customWidth="1"/>
    <col min="7968" max="8192" width="9.140625" style="212"/>
    <col min="8193" max="8193" width="5.85546875" style="212" customWidth="1"/>
    <col min="8194" max="8194" width="27" style="212" customWidth="1"/>
    <col min="8195" max="8195" width="12.85546875" style="212" customWidth="1"/>
    <col min="8196" max="8196" width="12.7109375" style="212" customWidth="1"/>
    <col min="8197" max="8198" width="11.85546875" style="212" customWidth="1"/>
    <col min="8199" max="8199" width="10" style="212" customWidth="1"/>
    <col min="8200" max="8200" width="13.28515625" style="212" customWidth="1"/>
    <col min="8201" max="8206" width="11.85546875" style="212" customWidth="1"/>
    <col min="8207" max="8207" width="10.42578125" style="212" customWidth="1"/>
    <col min="8208" max="8208" width="10.5703125" style="212" bestFit="1" customWidth="1"/>
    <col min="8209" max="8210" width="10.42578125" style="212" bestFit="1" customWidth="1"/>
    <col min="8211" max="8211" width="10.5703125" style="212" bestFit="1" customWidth="1"/>
    <col min="8212" max="8214" width="10.42578125" style="212" bestFit="1" customWidth="1"/>
    <col min="8215" max="8215" width="15.42578125" style="212" customWidth="1"/>
    <col min="8216" max="8216" width="10.42578125" style="212" bestFit="1" customWidth="1"/>
    <col min="8217" max="8218" width="10.5703125" style="212" bestFit="1" customWidth="1"/>
    <col min="8219" max="8223" width="10.42578125" style="212" bestFit="1" customWidth="1"/>
    <col min="8224" max="8448" width="9.140625" style="212"/>
    <col min="8449" max="8449" width="5.85546875" style="212" customWidth="1"/>
    <col min="8450" max="8450" width="27" style="212" customWidth="1"/>
    <col min="8451" max="8451" width="12.85546875" style="212" customWidth="1"/>
    <col min="8452" max="8452" width="12.7109375" style="212" customWidth="1"/>
    <col min="8453" max="8454" width="11.85546875" style="212" customWidth="1"/>
    <col min="8455" max="8455" width="10" style="212" customWidth="1"/>
    <col min="8456" max="8456" width="13.28515625" style="212" customWidth="1"/>
    <col min="8457" max="8462" width="11.85546875" style="212" customWidth="1"/>
    <col min="8463" max="8463" width="10.42578125" style="212" customWidth="1"/>
    <col min="8464" max="8464" width="10.5703125" style="212" bestFit="1" customWidth="1"/>
    <col min="8465" max="8466" width="10.42578125" style="212" bestFit="1" customWidth="1"/>
    <col min="8467" max="8467" width="10.5703125" style="212" bestFit="1" customWidth="1"/>
    <col min="8468" max="8470" width="10.42578125" style="212" bestFit="1" customWidth="1"/>
    <col min="8471" max="8471" width="15.42578125" style="212" customWidth="1"/>
    <col min="8472" max="8472" width="10.42578125" style="212" bestFit="1" customWidth="1"/>
    <col min="8473" max="8474" width="10.5703125" style="212" bestFit="1" customWidth="1"/>
    <col min="8475" max="8479" width="10.42578125" style="212" bestFit="1" customWidth="1"/>
    <col min="8480" max="8704" width="9.140625" style="212"/>
    <col min="8705" max="8705" width="5.85546875" style="212" customWidth="1"/>
    <col min="8706" max="8706" width="27" style="212" customWidth="1"/>
    <col min="8707" max="8707" width="12.85546875" style="212" customWidth="1"/>
    <col min="8708" max="8708" width="12.7109375" style="212" customWidth="1"/>
    <col min="8709" max="8710" width="11.85546875" style="212" customWidth="1"/>
    <col min="8711" max="8711" width="10" style="212" customWidth="1"/>
    <col min="8712" max="8712" width="13.28515625" style="212" customWidth="1"/>
    <col min="8713" max="8718" width="11.85546875" style="212" customWidth="1"/>
    <col min="8719" max="8719" width="10.42578125" style="212" customWidth="1"/>
    <col min="8720" max="8720" width="10.5703125" style="212" bestFit="1" customWidth="1"/>
    <col min="8721" max="8722" width="10.42578125" style="212" bestFit="1" customWidth="1"/>
    <col min="8723" max="8723" width="10.5703125" style="212" bestFit="1" customWidth="1"/>
    <col min="8724" max="8726" width="10.42578125" style="212" bestFit="1" customWidth="1"/>
    <col min="8727" max="8727" width="15.42578125" style="212" customWidth="1"/>
    <col min="8728" max="8728" width="10.42578125" style="212" bestFit="1" customWidth="1"/>
    <col min="8729" max="8730" width="10.5703125" style="212" bestFit="1" customWidth="1"/>
    <col min="8731" max="8735" width="10.42578125" style="212" bestFit="1" customWidth="1"/>
    <col min="8736" max="8960" width="9.140625" style="212"/>
    <col min="8961" max="8961" width="5.85546875" style="212" customWidth="1"/>
    <col min="8962" max="8962" width="27" style="212" customWidth="1"/>
    <col min="8963" max="8963" width="12.85546875" style="212" customWidth="1"/>
    <col min="8964" max="8964" width="12.7109375" style="212" customWidth="1"/>
    <col min="8965" max="8966" width="11.85546875" style="212" customWidth="1"/>
    <col min="8967" max="8967" width="10" style="212" customWidth="1"/>
    <col min="8968" max="8968" width="13.28515625" style="212" customWidth="1"/>
    <col min="8969" max="8974" width="11.85546875" style="212" customWidth="1"/>
    <col min="8975" max="8975" width="10.42578125" style="212" customWidth="1"/>
    <col min="8976" max="8976" width="10.5703125" style="212" bestFit="1" customWidth="1"/>
    <col min="8977" max="8978" width="10.42578125" style="212" bestFit="1" customWidth="1"/>
    <col min="8979" max="8979" width="10.5703125" style="212" bestFit="1" customWidth="1"/>
    <col min="8980" max="8982" width="10.42578125" style="212" bestFit="1" customWidth="1"/>
    <col min="8983" max="8983" width="15.42578125" style="212" customWidth="1"/>
    <col min="8984" max="8984" width="10.42578125" style="212" bestFit="1" customWidth="1"/>
    <col min="8985" max="8986" width="10.5703125" style="212" bestFit="1" customWidth="1"/>
    <col min="8987" max="8991" width="10.42578125" style="212" bestFit="1" customWidth="1"/>
    <col min="8992" max="9216" width="9.140625" style="212"/>
    <col min="9217" max="9217" width="5.85546875" style="212" customWidth="1"/>
    <col min="9218" max="9218" width="27" style="212" customWidth="1"/>
    <col min="9219" max="9219" width="12.85546875" style="212" customWidth="1"/>
    <col min="9220" max="9220" width="12.7109375" style="212" customWidth="1"/>
    <col min="9221" max="9222" width="11.85546875" style="212" customWidth="1"/>
    <col min="9223" max="9223" width="10" style="212" customWidth="1"/>
    <col min="9224" max="9224" width="13.28515625" style="212" customWidth="1"/>
    <col min="9225" max="9230" width="11.85546875" style="212" customWidth="1"/>
    <col min="9231" max="9231" width="10.42578125" style="212" customWidth="1"/>
    <col min="9232" max="9232" width="10.5703125" style="212" bestFit="1" customWidth="1"/>
    <col min="9233" max="9234" width="10.42578125" style="212" bestFit="1" customWidth="1"/>
    <col min="9235" max="9235" width="10.5703125" style="212" bestFit="1" customWidth="1"/>
    <col min="9236" max="9238" width="10.42578125" style="212" bestFit="1" customWidth="1"/>
    <col min="9239" max="9239" width="15.42578125" style="212" customWidth="1"/>
    <col min="9240" max="9240" width="10.42578125" style="212" bestFit="1" customWidth="1"/>
    <col min="9241" max="9242" width="10.5703125" style="212" bestFit="1" customWidth="1"/>
    <col min="9243" max="9247" width="10.42578125" style="212" bestFit="1" customWidth="1"/>
    <col min="9248" max="9472" width="9.140625" style="212"/>
    <col min="9473" max="9473" width="5.85546875" style="212" customWidth="1"/>
    <col min="9474" max="9474" width="27" style="212" customWidth="1"/>
    <col min="9475" max="9475" width="12.85546875" style="212" customWidth="1"/>
    <col min="9476" max="9476" width="12.7109375" style="212" customWidth="1"/>
    <col min="9477" max="9478" width="11.85546875" style="212" customWidth="1"/>
    <col min="9479" max="9479" width="10" style="212" customWidth="1"/>
    <col min="9480" max="9480" width="13.28515625" style="212" customWidth="1"/>
    <col min="9481" max="9486" width="11.85546875" style="212" customWidth="1"/>
    <col min="9487" max="9487" width="10.42578125" style="212" customWidth="1"/>
    <col min="9488" max="9488" width="10.5703125" style="212" bestFit="1" customWidth="1"/>
    <col min="9489" max="9490" width="10.42578125" style="212" bestFit="1" customWidth="1"/>
    <col min="9491" max="9491" width="10.5703125" style="212" bestFit="1" customWidth="1"/>
    <col min="9492" max="9494" width="10.42578125" style="212" bestFit="1" customWidth="1"/>
    <col min="9495" max="9495" width="15.42578125" style="212" customWidth="1"/>
    <col min="9496" max="9496" width="10.42578125" style="212" bestFit="1" customWidth="1"/>
    <col min="9497" max="9498" width="10.5703125" style="212" bestFit="1" customWidth="1"/>
    <col min="9499" max="9503" width="10.42578125" style="212" bestFit="1" customWidth="1"/>
    <col min="9504" max="9728" width="9.140625" style="212"/>
    <col min="9729" max="9729" width="5.85546875" style="212" customWidth="1"/>
    <col min="9730" max="9730" width="27" style="212" customWidth="1"/>
    <col min="9731" max="9731" width="12.85546875" style="212" customWidth="1"/>
    <col min="9732" max="9732" width="12.7109375" style="212" customWidth="1"/>
    <col min="9733" max="9734" width="11.85546875" style="212" customWidth="1"/>
    <col min="9735" max="9735" width="10" style="212" customWidth="1"/>
    <col min="9736" max="9736" width="13.28515625" style="212" customWidth="1"/>
    <col min="9737" max="9742" width="11.85546875" style="212" customWidth="1"/>
    <col min="9743" max="9743" width="10.42578125" style="212" customWidth="1"/>
    <col min="9744" max="9744" width="10.5703125" style="212" bestFit="1" customWidth="1"/>
    <col min="9745" max="9746" width="10.42578125" style="212" bestFit="1" customWidth="1"/>
    <col min="9747" max="9747" width="10.5703125" style="212" bestFit="1" customWidth="1"/>
    <col min="9748" max="9750" width="10.42578125" style="212" bestFit="1" customWidth="1"/>
    <col min="9751" max="9751" width="15.42578125" style="212" customWidth="1"/>
    <col min="9752" max="9752" width="10.42578125" style="212" bestFit="1" customWidth="1"/>
    <col min="9753" max="9754" width="10.5703125" style="212" bestFit="1" customWidth="1"/>
    <col min="9755" max="9759" width="10.42578125" style="212" bestFit="1" customWidth="1"/>
    <col min="9760" max="9984" width="9.140625" style="212"/>
    <col min="9985" max="9985" width="5.85546875" style="212" customWidth="1"/>
    <col min="9986" max="9986" width="27" style="212" customWidth="1"/>
    <col min="9987" max="9987" width="12.85546875" style="212" customWidth="1"/>
    <col min="9988" max="9988" width="12.7109375" style="212" customWidth="1"/>
    <col min="9989" max="9990" width="11.85546875" style="212" customWidth="1"/>
    <col min="9991" max="9991" width="10" style="212" customWidth="1"/>
    <col min="9992" max="9992" width="13.28515625" style="212" customWidth="1"/>
    <col min="9993" max="9998" width="11.85546875" style="212" customWidth="1"/>
    <col min="9999" max="9999" width="10.42578125" style="212" customWidth="1"/>
    <col min="10000" max="10000" width="10.5703125" style="212" bestFit="1" customWidth="1"/>
    <col min="10001" max="10002" width="10.42578125" style="212" bestFit="1" customWidth="1"/>
    <col min="10003" max="10003" width="10.5703125" style="212" bestFit="1" customWidth="1"/>
    <col min="10004" max="10006" width="10.42578125" style="212" bestFit="1" customWidth="1"/>
    <col min="10007" max="10007" width="15.42578125" style="212" customWidth="1"/>
    <col min="10008" max="10008" width="10.42578125" style="212" bestFit="1" customWidth="1"/>
    <col min="10009" max="10010" width="10.5703125" style="212" bestFit="1" customWidth="1"/>
    <col min="10011" max="10015" width="10.42578125" style="212" bestFit="1" customWidth="1"/>
    <col min="10016" max="10240" width="9.140625" style="212"/>
    <col min="10241" max="10241" width="5.85546875" style="212" customWidth="1"/>
    <col min="10242" max="10242" width="27" style="212" customWidth="1"/>
    <col min="10243" max="10243" width="12.85546875" style="212" customWidth="1"/>
    <col min="10244" max="10244" width="12.7109375" style="212" customWidth="1"/>
    <col min="10245" max="10246" width="11.85546875" style="212" customWidth="1"/>
    <col min="10247" max="10247" width="10" style="212" customWidth="1"/>
    <col min="10248" max="10248" width="13.28515625" style="212" customWidth="1"/>
    <col min="10249" max="10254" width="11.85546875" style="212" customWidth="1"/>
    <col min="10255" max="10255" width="10.42578125" style="212" customWidth="1"/>
    <col min="10256" max="10256" width="10.5703125" style="212" bestFit="1" customWidth="1"/>
    <col min="10257" max="10258" width="10.42578125" style="212" bestFit="1" customWidth="1"/>
    <col min="10259" max="10259" width="10.5703125" style="212" bestFit="1" customWidth="1"/>
    <col min="10260" max="10262" width="10.42578125" style="212" bestFit="1" customWidth="1"/>
    <col min="10263" max="10263" width="15.42578125" style="212" customWidth="1"/>
    <col min="10264" max="10264" width="10.42578125" style="212" bestFit="1" customWidth="1"/>
    <col min="10265" max="10266" width="10.5703125" style="212" bestFit="1" customWidth="1"/>
    <col min="10267" max="10271" width="10.42578125" style="212" bestFit="1" customWidth="1"/>
    <col min="10272" max="10496" width="9.140625" style="212"/>
    <col min="10497" max="10497" width="5.85546875" style="212" customWidth="1"/>
    <col min="10498" max="10498" width="27" style="212" customWidth="1"/>
    <col min="10499" max="10499" width="12.85546875" style="212" customWidth="1"/>
    <col min="10500" max="10500" width="12.7109375" style="212" customWidth="1"/>
    <col min="10501" max="10502" width="11.85546875" style="212" customWidth="1"/>
    <col min="10503" max="10503" width="10" style="212" customWidth="1"/>
    <col min="10504" max="10504" width="13.28515625" style="212" customWidth="1"/>
    <col min="10505" max="10510" width="11.85546875" style="212" customWidth="1"/>
    <col min="10511" max="10511" width="10.42578125" style="212" customWidth="1"/>
    <col min="10512" max="10512" width="10.5703125" style="212" bestFit="1" customWidth="1"/>
    <col min="10513" max="10514" width="10.42578125" style="212" bestFit="1" customWidth="1"/>
    <col min="10515" max="10515" width="10.5703125" style="212" bestFit="1" customWidth="1"/>
    <col min="10516" max="10518" width="10.42578125" style="212" bestFit="1" customWidth="1"/>
    <col min="10519" max="10519" width="15.42578125" style="212" customWidth="1"/>
    <col min="10520" max="10520" width="10.42578125" style="212" bestFit="1" customWidth="1"/>
    <col min="10521" max="10522" width="10.5703125" style="212" bestFit="1" customWidth="1"/>
    <col min="10523" max="10527" width="10.42578125" style="212" bestFit="1" customWidth="1"/>
    <col min="10528" max="10752" width="9.140625" style="212"/>
    <col min="10753" max="10753" width="5.85546875" style="212" customWidth="1"/>
    <col min="10754" max="10754" width="27" style="212" customWidth="1"/>
    <col min="10755" max="10755" width="12.85546875" style="212" customWidth="1"/>
    <col min="10756" max="10756" width="12.7109375" style="212" customWidth="1"/>
    <col min="10757" max="10758" width="11.85546875" style="212" customWidth="1"/>
    <col min="10759" max="10759" width="10" style="212" customWidth="1"/>
    <col min="10760" max="10760" width="13.28515625" style="212" customWidth="1"/>
    <col min="10761" max="10766" width="11.85546875" style="212" customWidth="1"/>
    <col min="10767" max="10767" width="10.42578125" style="212" customWidth="1"/>
    <col min="10768" max="10768" width="10.5703125" style="212" bestFit="1" customWidth="1"/>
    <col min="10769" max="10770" width="10.42578125" style="212" bestFit="1" customWidth="1"/>
    <col min="10771" max="10771" width="10.5703125" style="212" bestFit="1" customWidth="1"/>
    <col min="10772" max="10774" width="10.42578125" style="212" bestFit="1" customWidth="1"/>
    <col min="10775" max="10775" width="15.42578125" style="212" customWidth="1"/>
    <col min="10776" max="10776" width="10.42578125" style="212" bestFit="1" customWidth="1"/>
    <col min="10777" max="10778" width="10.5703125" style="212" bestFit="1" customWidth="1"/>
    <col min="10779" max="10783" width="10.42578125" style="212" bestFit="1" customWidth="1"/>
    <col min="10784" max="11008" width="9.140625" style="212"/>
    <col min="11009" max="11009" width="5.85546875" style="212" customWidth="1"/>
    <col min="11010" max="11010" width="27" style="212" customWidth="1"/>
    <col min="11011" max="11011" width="12.85546875" style="212" customWidth="1"/>
    <col min="11012" max="11012" width="12.7109375" style="212" customWidth="1"/>
    <col min="11013" max="11014" width="11.85546875" style="212" customWidth="1"/>
    <col min="11015" max="11015" width="10" style="212" customWidth="1"/>
    <col min="11016" max="11016" width="13.28515625" style="212" customWidth="1"/>
    <col min="11017" max="11022" width="11.85546875" style="212" customWidth="1"/>
    <col min="11023" max="11023" width="10.42578125" style="212" customWidth="1"/>
    <col min="11024" max="11024" width="10.5703125" style="212" bestFit="1" customWidth="1"/>
    <col min="11025" max="11026" width="10.42578125" style="212" bestFit="1" customWidth="1"/>
    <col min="11027" max="11027" width="10.5703125" style="212" bestFit="1" customWidth="1"/>
    <col min="11028" max="11030" width="10.42578125" style="212" bestFit="1" customWidth="1"/>
    <col min="11031" max="11031" width="15.42578125" style="212" customWidth="1"/>
    <col min="11032" max="11032" width="10.42578125" style="212" bestFit="1" customWidth="1"/>
    <col min="11033" max="11034" width="10.5703125" style="212" bestFit="1" customWidth="1"/>
    <col min="11035" max="11039" width="10.42578125" style="212" bestFit="1" customWidth="1"/>
    <col min="11040" max="11264" width="9.140625" style="212"/>
    <col min="11265" max="11265" width="5.85546875" style="212" customWidth="1"/>
    <col min="11266" max="11266" width="27" style="212" customWidth="1"/>
    <col min="11267" max="11267" width="12.85546875" style="212" customWidth="1"/>
    <col min="11268" max="11268" width="12.7109375" style="212" customWidth="1"/>
    <col min="11269" max="11270" width="11.85546875" style="212" customWidth="1"/>
    <col min="11271" max="11271" width="10" style="212" customWidth="1"/>
    <col min="11272" max="11272" width="13.28515625" style="212" customWidth="1"/>
    <col min="11273" max="11278" width="11.85546875" style="212" customWidth="1"/>
    <col min="11279" max="11279" width="10.42578125" style="212" customWidth="1"/>
    <col min="11280" max="11280" width="10.5703125" style="212" bestFit="1" customWidth="1"/>
    <col min="11281" max="11282" width="10.42578125" style="212" bestFit="1" customWidth="1"/>
    <col min="11283" max="11283" width="10.5703125" style="212" bestFit="1" customWidth="1"/>
    <col min="11284" max="11286" width="10.42578125" style="212" bestFit="1" customWidth="1"/>
    <col min="11287" max="11287" width="15.42578125" style="212" customWidth="1"/>
    <col min="11288" max="11288" width="10.42578125" style="212" bestFit="1" customWidth="1"/>
    <col min="11289" max="11290" width="10.5703125" style="212" bestFit="1" customWidth="1"/>
    <col min="11291" max="11295" width="10.42578125" style="212" bestFit="1" customWidth="1"/>
    <col min="11296" max="11520" width="9.140625" style="212"/>
    <col min="11521" max="11521" width="5.85546875" style="212" customWidth="1"/>
    <col min="11522" max="11522" width="27" style="212" customWidth="1"/>
    <col min="11523" max="11523" width="12.85546875" style="212" customWidth="1"/>
    <col min="11524" max="11524" width="12.7109375" style="212" customWidth="1"/>
    <col min="11525" max="11526" width="11.85546875" style="212" customWidth="1"/>
    <col min="11527" max="11527" width="10" style="212" customWidth="1"/>
    <col min="11528" max="11528" width="13.28515625" style="212" customWidth="1"/>
    <col min="11529" max="11534" width="11.85546875" style="212" customWidth="1"/>
    <col min="11535" max="11535" width="10.42578125" style="212" customWidth="1"/>
    <col min="11536" max="11536" width="10.5703125" style="212" bestFit="1" customWidth="1"/>
    <col min="11537" max="11538" width="10.42578125" style="212" bestFit="1" customWidth="1"/>
    <col min="11539" max="11539" width="10.5703125" style="212" bestFit="1" customWidth="1"/>
    <col min="11540" max="11542" width="10.42578125" style="212" bestFit="1" customWidth="1"/>
    <col min="11543" max="11543" width="15.42578125" style="212" customWidth="1"/>
    <col min="11544" max="11544" width="10.42578125" style="212" bestFit="1" customWidth="1"/>
    <col min="11545" max="11546" width="10.5703125" style="212" bestFit="1" customWidth="1"/>
    <col min="11547" max="11551" width="10.42578125" style="212" bestFit="1" customWidth="1"/>
    <col min="11552" max="11776" width="9.140625" style="212"/>
    <col min="11777" max="11777" width="5.85546875" style="212" customWidth="1"/>
    <col min="11778" max="11778" width="27" style="212" customWidth="1"/>
    <col min="11779" max="11779" width="12.85546875" style="212" customWidth="1"/>
    <col min="11780" max="11780" width="12.7109375" style="212" customWidth="1"/>
    <col min="11781" max="11782" width="11.85546875" style="212" customWidth="1"/>
    <col min="11783" max="11783" width="10" style="212" customWidth="1"/>
    <col min="11784" max="11784" width="13.28515625" style="212" customWidth="1"/>
    <col min="11785" max="11790" width="11.85546875" style="212" customWidth="1"/>
    <col min="11791" max="11791" width="10.42578125" style="212" customWidth="1"/>
    <col min="11792" max="11792" width="10.5703125" style="212" bestFit="1" customWidth="1"/>
    <col min="11793" max="11794" width="10.42578125" style="212" bestFit="1" customWidth="1"/>
    <col min="11795" max="11795" width="10.5703125" style="212" bestFit="1" customWidth="1"/>
    <col min="11796" max="11798" width="10.42578125" style="212" bestFit="1" customWidth="1"/>
    <col min="11799" max="11799" width="15.42578125" style="212" customWidth="1"/>
    <col min="11800" max="11800" width="10.42578125" style="212" bestFit="1" customWidth="1"/>
    <col min="11801" max="11802" width="10.5703125" style="212" bestFit="1" customWidth="1"/>
    <col min="11803" max="11807" width="10.42578125" style="212" bestFit="1" customWidth="1"/>
    <col min="11808" max="12032" width="9.140625" style="212"/>
    <col min="12033" max="12033" width="5.85546875" style="212" customWidth="1"/>
    <col min="12034" max="12034" width="27" style="212" customWidth="1"/>
    <col min="12035" max="12035" width="12.85546875" style="212" customWidth="1"/>
    <col min="12036" max="12036" width="12.7109375" style="212" customWidth="1"/>
    <col min="12037" max="12038" width="11.85546875" style="212" customWidth="1"/>
    <col min="12039" max="12039" width="10" style="212" customWidth="1"/>
    <col min="12040" max="12040" width="13.28515625" style="212" customWidth="1"/>
    <col min="12041" max="12046" width="11.85546875" style="212" customWidth="1"/>
    <col min="12047" max="12047" width="10.42578125" style="212" customWidth="1"/>
    <col min="12048" max="12048" width="10.5703125" style="212" bestFit="1" customWidth="1"/>
    <col min="12049" max="12050" width="10.42578125" style="212" bestFit="1" customWidth="1"/>
    <col min="12051" max="12051" width="10.5703125" style="212" bestFit="1" customWidth="1"/>
    <col min="12052" max="12054" width="10.42578125" style="212" bestFit="1" customWidth="1"/>
    <col min="12055" max="12055" width="15.42578125" style="212" customWidth="1"/>
    <col min="12056" max="12056" width="10.42578125" style="212" bestFit="1" customWidth="1"/>
    <col min="12057" max="12058" width="10.5703125" style="212" bestFit="1" customWidth="1"/>
    <col min="12059" max="12063" width="10.42578125" style="212" bestFit="1" customWidth="1"/>
    <col min="12064" max="12288" width="9.140625" style="212"/>
    <col min="12289" max="12289" width="5.85546875" style="212" customWidth="1"/>
    <col min="12290" max="12290" width="27" style="212" customWidth="1"/>
    <col min="12291" max="12291" width="12.85546875" style="212" customWidth="1"/>
    <col min="12292" max="12292" width="12.7109375" style="212" customWidth="1"/>
    <col min="12293" max="12294" width="11.85546875" style="212" customWidth="1"/>
    <col min="12295" max="12295" width="10" style="212" customWidth="1"/>
    <col min="12296" max="12296" width="13.28515625" style="212" customWidth="1"/>
    <col min="12297" max="12302" width="11.85546875" style="212" customWidth="1"/>
    <col min="12303" max="12303" width="10.42578125" style="212" customWidth="1"/>
    <col min="12304" max="12304" width="10.5703125" style="212" bestFit="1" customWidth="1"/>
    <col min="12305" max="12306" width="10.42578125" style="212" bestFit="1" customWidth="1"/>
    <col min="12307" max="12307" width="10.5703125" style="212" bestFit="1" customWidth="1"/>
    <col min="12308" max="12310" width="10.42578125" style="212" bestFit="1" customWidth="1"/>
    <col min="12311" max="12311" width="15.42578125" style="212" customWidth="1"/>
    <col min="12312" max="12312" width="10.42578125" style="212" bestFit="1" customWidth="1"/>
    <col min="12313" max="12314" width="10.5703125" style="212" bestFit="1" customWidth="1"/>
    <col min="12315" max="12319" width="10.42578125" style="212" bestFit="1" customWidth="1"/>
    <col min="12320" max="12544" width="9.140625" style="212"/>
    <col min="12545" max="12545" width="5.85546875" style="212" customWidth="1"/>
    <col min="12546" max="12546" width="27" style="212" customWidth="1"/>
    <col min="12547" max="12547" width="12.85546875" style="212" customWidth="1"/>
    <col min="12548" max="12548" width="12.7109375" style="212" customWidth="1"/>
    <col min="12549" max="12550" width="11.85546875" style="212" customWidth="1"/>
    <col min="12551" max="12551" width="10" style="212" customWidth="1"/>
    <col min="12552" max="12552" width="13.28515625" style="212" customWidth="1"/>
    <col min="12553" max="12558" width="11.85546875" style="212" customWidth="1"/>
    <col min="12559" max="12559" width="10.42578125" style="212" customWidth="1"/>
    <col min="12560" max="12560" width="10.5703125" style="212" bestFit="1" customWidth="1"/>
    <col min="12561" max="12562" width="10.42578125" style="212" bestFit="1" customWidth="1"/>
    <col min="12563" max="12563" width="10.5703125" style="212" bestFit="1" customWidth="1"/>
    <col min="12564" max="12566" width="10.42578125" style="212" bestFit="1" customWidth="1"/>
    <col min="12567" max="12567" width="15.42578125" style="212" customWidth="1"/>
    <col min="12568" max="12568" width="10.42578125" style="212" bestFit="1" customWidth="1"/>
    <col min="12569" max="12570" width="10.5703125" style="212" bestFit="1" customWidth="1"/>
    <col min="12571" max="12575" width="10.42578125" style="212" bestFit="1" customWidth="1"/>
    <col min="12576" max="12800" width="9.140625" style="212"/>
    <col min="12801" max="12801" width="5.85546875" style="212" customWidth="1"/>
    <col min="12802" max="12802" width="27" style="212" customWidth="1"/>
    <col min="12803" max="12803" width="12.85546875" style="212" customWidth="1"/>
    <col min="12804" max="12804" width="12.7109375" style="212" customWidth="1"/>
    <col min="12805" max="12806" width="11.85546875" style="212" customWidth="1"/>
    <col min="12807" max="12807" width="10" style="212" customWidth="1"/>
    <col min="12808" max="12808" width="13.28515625" style="212" customWidth="1"/>
    <col min="12809" max="12814" width="11.85546875" style="212" customWidth="1"/>
    <col min="12815" max="12815" width="10.42578125" style="212" customWidth="1"/>
    <col min="12816" max="12816" width="10.5703125" style="212" bestFit="1" customWidth="1"/>
    <col min="12817" max="12818" width="10.42578125" style="212" bestFit="1" customWidth="1"/>
    <col min="12819" max="12819" width="10.5703125" style="212" bestFit="1" customWidth="1"/>
    <col min="12820" max="12822" width="10.42578125" style="212" bestFit="1" customWidth="1"/>
    <col min="12823" max="12823" width="15.42578125" style="212" customWidth="1"/>
    <col min="12824" max="12824" width="10.42578125" style="212" bestFit="1" customWidth="1"/>
    <col min="12825" max="12826" width="10.5703125" style="212" bestFit="1" customWidth="1"/>
    <col min="12827" max="12831" width="10.42578125" style="212" bestFit="1" customWidth="1"/>
    <col min="12832" max="13056" width="9.140625" style="212"/>
    <col min="13057" max="13057" width="5.85546875" style="212" customWidth="1"/>
    <col min="13058" max="13058" width="27" style="212" customWidth="1"/>
    <col min="13059" max="13059" width="12.85546875" style="212" customWidth="1"/>
    <col min="13060" max="13060" width="12.7109375" style="212" customWidth="1"/>
    <col min="13061" max="13062" width="11.85546875" style="212" customWidth="1"/>
    <col min="13063" max="13063" width="10" style="212" customWidth="1"/>
    <col min="13064" max="13064" width="13.28515625" style="212" customWidth="1"/>
    <col min="13065" max="13070" width="11.85546875" style="212" customWidth="1"/>
    <col min="13071" max="13071" width="10.42578125" style="212" customWidth="1"/>
    <col min="13072" max="13072" width="10.5703125" style="212" bestFit="1" customWidth="1"/>
    <col min="13073" max="13074" width="10.42578125" style="212" bestFit="1" customWidth="1"/>
    <col min="13075" max="13075" width="10.5703125" style="212" bestFit="1" customWidth="1"/>
    <col min="13076" max="13078" width="10.42578125" style="212" bestFit="1" customWidth="1"/>
    <col min="13079" max="13079" width="15.42578125" style="212" customWidth="1"/>
    <col min="13080" max="13080" width="10.42578125" style="212" bestFit="1" customWidth="1"/>
    <col min="13081" max="13082" width="10.5703125" style="212" bestFit="1" customWidth="1"/>
    <col min="13083" max="13087" width="10.42578125" style="212" bestFit="1" customWidth="1"/>
    <col min="13088" max="13312" width="9.140625" style="212"/>
    <col min="13313" max="13313" width="5.85546875" style="212" customWidth="1"/>
    <col min="13314" max="13314" width="27" style="212" customWidth="1"/>
    <col min="13315" max="13315" width="12.85546875" style="212" customWidth="1"/>
    <col min="13316" max="13316" width="12.7109375" style="212" customWidth="1"/>
    <col min="13317" max="13318" width="11.85546875" style="212" customWidth="1"/>
    <col min="13319" max="13319" width="10" style="212" customWidth="1"/>
    <col min="13320" max="13320" width="13.28515625" style="212" customWidth="1"/>
    <col min="13321" max="13326" width="11.85546875" style="212" customWidth="1"/>
    <col min="13327" max="13327" width="10.42578125" style="212" customWidth="1"/>
    <col min="13328" max="13328" width="10.5703125" style="212" bestFit="1" customWidth="1"/>
    <col min="13329" max="13330" width="10.42578125" style="212" bestFit="1" customWidth="1"/>
    <col min="13331" max="13331" width="10.5703125" style="212" bestFit="1" customWidth="1"/>
    <col min="13332" max="13334" width="10.42578125" style="212" bestFit="1" customWidth="1"/>
    <col min="13335" max="13335" width="15.42578125" style="212" customWidth="1"/>
    <col min="13336" max="13336" width="10.42578125" style="212" bestFit="1" customWidth="1"/>
    <col min="13337" max="13338" width="10.5703125" style="212" bestFit="1" customWidth="1"/>
    <col min="13339" max="13343" width="10.42578125" style="212" bestFit="1" customWidth="1"/>
    <col min="13344" max="13568" width="9.140625" style="212"/>
    <col min="13569" max="13569" width="5.85546875" style="212" customWidth="1"/>
    <col min="13570" max="13570" width="27" style="212" customWidth="1"/>
    <col min="13571" max="13571" width="12.85546875" style="212" customWidth="1"/>
    <col min="13572" max="13572" width="12.7109375" style="212" customWidth="1"/>
    <col min="13573" max="13574" width="11.85546875" style="212" customWidth="1"/>
    <col min="13575" max="13575" width="10" style="212" customWidth="1"/>
    <col min="13576" max="13576" width="13.28515625" style="212" customWidth="1"/>
    <col min="13577" max="13582" width="11.85546875" style="212" customWidth="1"/>
    <col min="13583" max="13583" width="10.42578125" style="212" customWidth="1"/>
    <col min="13584" max="13584" width="10.5703125" style="212" bestFit="1" customWidth="1"/>
    <col min="13585" max="13586" width="10.42578125" style="212" bestFit="1" customWidth="1"/>
    <col min="13587" max="13587" width="10.5703125" style="212" bestFit="1" customWidth="1"/>
    <col min="13588" max="13590" width="10.42578125" style="212" bestFit="1" customWidth="1"/>
    <col min="13591" max="13591" width="15.42578125" style="212" customWidth="1"/>
    <col min="13592" max="13592" width="10.42578125" style="212" bestFit="1" customWidth="1"/>
    <col min="13593" max="13594" width="10.5703125" style="212" bestFit="1" customWidth="1"/>
    <col min="13595" max="13599" width="10.42578125" style="212" bestFit="1" customWidth="1"/>
    <col min="13600" max="13824" width="9.140625" style="212"/>
    <col min="13825" max="13825" width="5.85546875" style="212" customWidth="1"/>
    <col min="13826" max="13826" width="27" style="212" customWidth="1"/>
    <col min="13827" max="13827" width="12.85546875" style="212" customWidth="1"/>
    <col min="13828" max="13828" width="12.7109375" style="212" customWidth="1"/>
    <col min="13829" max="13830" width="11.85546875" style="212" customWidth="1"/>
    <col min="13831" max="13831" width="10" style="212" customWidth="1"/>
    <col min="13832" max="13832" width="13.28515625" style="212" customWidth="1"/>
    <col min="13833" max="13838" width="11.85546875" style="212" customWidth="1"/>
    <col min="13839" max="13839" width="10.42578125" style="212" customWidth="1"/>
    <col min="13840" max="13840" width="10.5703125" style="212" bestFit="1" customWidth="1"/>
    <col min="13841" max="13842" width="10.42578125" style="212" bestFit="1" customWidth="1"/>
    <col min="13843" max="13843" width="10.5703125" style="212" bestFit="1" customWidth="1"/>
    <col min="13844" max="13846" width="10.42578125" style="212" bestFit="1" customWidth="1"/>
    <col min="13847" max="13847" width="15.42578125" style="212" customWidth="1"/>
    <col min="13848" max="13848" width="10.42578125" style="212" bestFit="1" customWidth="1"/>
    <col min="13849" max="13850" width="10.5703125" style="212" bestFit="1" customWidth="1"/>
    <col min="13851" max="13855" width="10.42578125" style="212" bestFit="1" customWidth="1"/>
    <col min="13856" max="14080" width="9.140625" style="212"/>
    <col min="14081" max="14081" width="5.85546875" style="212" customWidth="1"/>
    <col min="14082" max="14082" width="27" style="212" customWidth="1"/>
    <col min="14083" max="14083" width="12.85546875" style="212" customWidth="1"/>
    <col min="14084" max="14084" width="12.7109375" style="212" customWidth="1"/>
    <col min="14085" max="14086" width="11.85546875" style="212" customWidth="1"/>
    <col min="14087" max="14087" width="10" style="212" customWidth="1"/>
    <col min="14088" max="14088" width="13.28515625" style="212" customWidth="1"/>
    <col min="14089" max="14094" width="11.85546875" style="212" customWidth="1"/>
    <col min="14095" max="14095" width="10.42578125" style="212" customWidth="1"/>
    <col min="14096" max="14096" width="10.5703125" style="212" bestFit="1" customWidth="1"/>
    <col min="14097" max="14098" width="10.42578125" style="212" bestFit="1" customWidth="1"/>
    <col min="14099" max="14099" width="10.5703125" style="212" bestFit="1" customWidth="1"/>
    <col min="14100" max="14102" width="10.42578125" style="212" bestFit="1" customWidth="1"/>
    <col min="14103" max="14103" width="15.42578125" style="212" customWidth="1"/>
    <col min="14104" max="14104" width="10.42578125" style="212" bestFit="1" customWidth="1"/>
    <col min="14105" max="14106" width="10.5703125" style="212" bestFit="1" customWidth="1"/>
    <col min="14107" max="14111" width="10.42578125" style="212" bestFit="1" customWidth="1"/>
    <col min="14112" max="14336" width="9.140625" style="212"/>
    <col min="14337" max="14337" width="5.85546875" style="212" customWidth="1"/>
    <col min="14338" max="14338" width="27" style="212" customWidth="1"/>
    <col min="14339" max="14339" width="12.85546875" style="212" customWidth="1"/>
    <col min="14340" max="14340" width="12.7109375" style="212" customWidth="1"/>
    <col min="14341" max="14342" width="11.85546875" style="212" customWidth="1"/>
    <col min="14343" max="14343" width="10" style="212" customWidth="1"/>
    <col min="14344" max="14344" width="13.28515625" style="212" customWidth="1"/>
    <col min="14345" max="14350" width="11.85546875" style="212" customWidth="1"/>
    <col min="14351" max="14351" width="10.42578125" style="212" customWidth="1"/>
    <col min="14352" max="14352" width="10.5703125" style="212" bestFit="1" customWidth="1"/>
    <col min="14353" max="14354" width="10.42578125" style="212" bestFit="1" customWidth="1"/>
    <col min="14355" max="14355" width="10.5703125" style="212" bestFit="1" customWidth="1"/>
    <col min="14356" max="14358" width="10.42578125" style="212" bestFit="1" customWidth="1"/>
    <col min="14359" max="14359" width="15.42578125" style="212" customWidth="1"/>
    <col min="14360" max="14360" width="10.42578125" style="212" bestFit="1" customWidth="1"/>
    <col min="14361" max="14362" width="10.5703125" style="212" bestFit="1" customWidth="1"/>
    <col min="14363" max="14367" width="10.42578125" style="212" bestFit="1" customWidth="1"/>
    <col min="14368" max="14592" width="9.140625" style="212"/>
    <col min="14593" max="14593" width="5.85546875" style="212" customWidth="1"/>
    <col min="14594" max="14594" width="27" style="212" customWidth="1"/>
    <col min="14595" max="14595" width="12.85546875" style="212" customWidth="1"/>
    <col min="14596" max="14596" width="12.7109375" style="212" customWidth="1"/>
    <col min="14597" max="14598" width="11.85546875" style="212" customWidth="1"/>
    <col min="14599" max="14599" width="10" style="212" customWidth="1"/>
    <col min="14600" max="14600" width="13.28515625" style="212" customWidth="1"/>
    <col min="14601" max="14606" width="11.85546875" style="212" customWidth="1"/>
    <col min="14607" max="14607" width="10.42578125" style="212" customWidth="1"/>
    <col min="14608" max="14608" width="10.5703125" style="212" bestFit="1" customWidth="1"/>
    <col min="14609" max="14610" width="10.42578125" style="212" bestFit="1" customWidth="1"/>
    <col min="14611" max="14611" width="10.5703125" style="212" bestFit="1" customWidth="1"/>
    <col min="14612" max="14614" width="10.42578125" style="212" bestFit="1" customWidth="1"/>
    <col min="14615" max="14615" width="15.42578125" style="212" customWidth="1"/>
    <col min="14616" max="14616" width="10.42578125" style="212" bestFit="1" customWidth="1"/>
    <col min="14617" max="14618" width="10.5703125" style="212" bestFit="1" customWidth="1"/>
    <col min="14619" max="14623" width="10.42578125" style="212" bestFit="1" customWidth="1"/>
    <col min="14624" max="14848" width="9.140625" style="212"/>
    <col min="14849" max="14849" width="5.85546875" style="212" customWidth="1"/>
    <col min="14850" max="14850" width="27" style="212" customWidth="1"/>
    <col min="14851" max="14851" width="12.85546875" style="212" customWidth="1"/>
    <col min="14852" max="14852" width="12.7109375" style="212" customWidth="1"/>
    <col min="14853" max="14854" width="11.85546875" style="212" customWidth="1"/>
    <col min="14855" max="14855" width="10" style="212" customWidth="1"/>
    <col min="14856" max="14856" width="13.28515625" style="212" customWidth="1"/>
    <col min="14857" max="14862" width="11.85546875" style="212" customWidth="1"/>
    <col min="14863" max="14863" width="10.42578125" style="212" customWidth="1"/>
    <col min="14864" max="14864" width="10.5703125" style="212" bestFit="1" customWidth="1"/>
    <col min="14865" max="14866" width="10.42578125" style="212" bestFit="1" customWidth="1"/>
    <col min="14867" max="14867" width="10.5703125" style="212" bestFit="1" customWidth="1"/>
    <col min="14868" max="14870" width="10.42578125" style="212" bestFit="1" customWidth="1"/>
    <col min="14871" max="14871" width="15.42578125" style="212" customWidth="1"/>
    <col min="14872" max="14872" width="10.42578125" style="212" bestFit="1" customWidth="1"/>
    <col min="14873" max="14874" width="10.5703125" style="212" bestFit="1" customWidth="1"/>
    <col min="14875" max="14879" width="10.42578125" style="212" bestFit="1" customWidth="1"/>
    <col min="14880" max="15104" width="9.140625" style="212"/>
    <col min="15105" max="15105" width="5.85546875" style="212" customWidth="1"/>
    <col min="15106" max="15106" width="27" style="212" customWidth="1"/>
    <col min="15107" max="15107" width="12.85546875" style="212" customWidth="1"/>
    <col min="15108" max="15108" width="12.7109375" style="212" customWidth="1"/>
    <col min="15109" max="15110" width="11.85546875" style="212" customWidth="1"/>
    <col min="15111" max="15111" width="10" style="212" customWidth="1"/>
    <col min="15112" max="15112" width="13.28515625" style="212" customWidth="1"/>
    <col min="15113" max="15118" width="11.85546875" style="212" customWidth="1"/>
    <col min="15119" max="15119" width="10.42578125" style="212" customWidth="1"/>
    <col min="15120" max="15120" width="10.5703125" style="212" bestFit="1" customWidth="1"/>
    <col min="15121" max="15122" width="10.42578125" style="212" bestFit="1" customWidth="1"/>
    <col min="15123" max="15123" width="10.5703125" style="212" bestFit="1" customWidth="1"/>
    <col min="15124" max="15126" width="10.42578125" style="212" bestFit="1" customWidth="1"/>
    <col min="15127" max="15127" width="15.42578125" style="212" customWidth="1"/>
    <col min="15128" max="15128" width="10.42578125" style="212" bestFit="1" customWidth="1"/>
    <col min="15129" max="15130" width="10.5703125" style="212" bestFit="1" customWidth="1"/>
    <col min="15131" max="15135" width="10.42578125" style="212" bestFit="1" customWidth="1"/>
    <col min="15136" max="15360" width="9.140625" style="212"/>
    <col min="15361" max="15361" width="5.85546875" style="212" customWidth="1"/>
    <col min="15362" max="15362" width="27" style="212" customWidth="1"/>
    <col min="15363" max="15363" width="12.85546875" style="212" customWidth="1"/>
    <col min="15364" max="15364" width="12.7109375" style="212" customWidth="1"/>
    <col min="15365" max="15366" width="11.85546875" style="212" customWidth="1"/>
    <col min="15367" max="15367" width="10" style="212" customWidth="1"/>
    <col min="15368" max="15368" width="13.28515625" style="212" customWidth="1"/>
    <col min="15369" max="15374" width="11.85546875" style="212" customWidth="1"/>
    <col min="15375" max="15375" width="10.42578125" style="212" customWidth="1"/>
    <col min="15376" max="15376" width="10.5703125" style="212" bestFit="1" customWidth="1"/>
    <col min="15377" max="15378" width="10.42578125" style="212" bestFit="1" customWidth="1"/>
    <col min="15379" max="15379" width="10.5703125" style="212" bestFit="1" customWidth="1"/>
    <col min="15380" max="15382" width="10.42578125" style="212" bestFit="1" customWidth="1"/>
    <col min="15383" max="15383" width="15.42578125" style="212" customWidth="1"/>
    <col min="15384" max="15384" width="10.42578125" style="212" bestFit="1" customWidth="1"/>
    <col min="15385" max="15386" width="10.5703125" style="212" bestFit="1" customWidth="1"/>
    <col min="15387" max="15391" width="10.42578125" style="212" bestFit="1" customWidth="1"/>
    <col min="15392" max="15616" width="9.140625" style="212"/>
    <col min="15617" max="15617" width="5.85546875" style="212" customWidth="1"/>
    <col min="15618" max="15618" width="27" style="212" customWidth="1"/>
    <col min="15619" max="15619" width="12.85546875" style="212" customWidth="1"/>
    <col min="15620" max="15620" width="12.7109375" style="212" customWidth="1"/>
    <col min="15621" max="15622" width="11.85546875" style="212" customWidth="1"/>
    <col min="15623" max="15623" width="10" style="212" customWidth="1"/>
    <col min="15624" max="15624" width="13.28515625" style="212" customWidth="1"/>
    <col min="15625" max="15630" width="11.85546875" style="212" customWidth="1"/>
    <col min="15631" max="15631" width="10.42578125" style="212" customWidth="1"/>
    <col min="15632" max="15632" width="10.5703125" style="212" bestFit="1" customWidth="1"/>
    <col min="15633" max="15634" width="10.42578125" style="212" bestFit="1" customWidth="1"/>
    <col min="15635" max="15635" width="10.5703125" style="212" bestFit="1" customWidth="1"/>
    <col min="15636" max="15638" width="10.42578125" style="212" bestFit="1" customWidth="1"/>
    <col min="15639" max="15639" width="15.42578125" style="212" customWidth="1"/>
    <col min="15640" max="15640" width="10.42578125" style="212" bestFit="1" customWidth="1"/>
    <col min="15641" max="15642" width="10.5703125" style="212" bestFit="1" customWidth="1"/>
    <col min="15643" max="15647" width="10.42578125" style="212" bestFit="1" customWidth="1"/>
    <col min="15648" max="15872" width="9.140625" style="212"/>
    <col min="15873" max="15873" width="5.85546875" style="212" customWidth="1"/>
    <col min="15874" max="15874" width="27" style="212" customWidth="1"/>
    <col min="15875" max="15875" width="12.85546875" style="212" customWidth="1"/>
    <col min="15876" max="15876" width="12.7109375" style="212" customWidth="1"/>
    <col min="15877" max="15878" width="11.85546875" style="212" customWidth="1"/>
    <col min="15879" max="15879" width="10" style="212" customWidth="1"/>
    <col min="15880" max="15880" width="13.28515625" style="212" customWidth="1"/>
    <col min="15881" max="15886" width="11.85546875" style="212" customWidth="1"/>
    <col min="15887" max="15887" width="10.42578125" style="212" customWidth="1"/>
    <col min="15888" max="15888" width="10.5703125" style="212" bestFit="1" customWidth="1"/>
    <col min="15889" max="15890" width="10.42578125" style="212" bestFit="1" customWidth="1"/>
    <col min="15891" max="15891" width="10.5703125" style="212" bestFit="1" customWidth="1"/>
    <col min="15892" max="15894" width="10.42578125" style="212" bestFit="1" customWidth="1"/>
    <col min="15895" max="15895" width="15.42578125" style="212" customWidth="1"/>
    <col min="15896" max="15896" width="10.42578125" style="212" bestFit="1" customWidth="1"/>
    <col min="15897" max="15898" width="10.5703125" style="212" bestFit="1" customWidth="1"/>
    <col min="15899" max="15903" width="10.42578125" style="212" bestFit="1" customWidth="1"/>
    <col min="15904" max="16128" width="9.140625" style="212"/>
    <col min="16129" max="16129" width="5.85546875" style="212" customWidth="1"/>
    <col min="16130" max="16130" width="27" style="212" customWidth="1"/>
    <col min="16131" max="16131" width="12.85546875" style="212" customWidth="1"/>
    <col min="16132" max="16132" width="12.7109375" style="212" customWidth="1"/>
    <col min="16133" max="16134" width="11.85546875" style="212" customWidth="1"/>
    <col min="16135" max="16135" width="10" style="212" customWidth="1"/>
    <col min="16136" max="16136" width="13.28515625" style="212" customWidth="1"/>
    <col min="16137" max="16142" width="11.85546875" style="212" customWidth="1"/>
    <col min="16143" max="16143" width="10.42578125" style="212" customWidth="1"/>
    <col min="16144" max="16144" width="10.5703125" style="212" bestFit="1" customWidth="1"/>
    <col min="16145" max="16146" width="10.42578125" style="212" bestFit="1" customWidth="1"/>
    <col min="16147" max="16147" width="10.5703125" style="212" bestFit="1" customWidth="1"/>
    <col min="16148" max="16150" width="10.42578125" style="212" bestFit="1" customWidth="1"/>
    <col min="16151" max="16151" width="15.42578125" style="212" customWidth="1"/>
    <col min="16152" max="16152" width="10.42578125" style="212" bestFit="1" customWidth="1"/>
    <col min="16153" max="16154" width="10.5703125" style="212" bestFit="1" customWidth="1"/>
    <col min="16155" max="16159" width="10.42578125" style="212" bestFit="1" customWidth="1"/>
    <col min="16160" max="16384" width="9.140625" style="212"/>
  </cols>
  <sheetData>
    <row r="1" spans="1:31" ht="21" customHeight="1">
      <c r="A1" s="209"/>
      <c r="B1" s="209"/>
      <c r="C1" s="211"/>
      <c r="D1" s="211"/>
      <c r="E1" s="211"/>
      <c r="F1" s="211"/>
      <c r="G1" s="211"/>
      <c r="H1" s="211"/>
      <c r="I1" s="211"/>
      <c r="J1" s="1159"/>
      <c r="K1" s="1159"/>
      <c r="L1" s="1159"/>
      <c r="M1" s="1159"/>
      <c r="N1" s="1159"/>
      <c r="O1" s="1159"/>
      <c r="AA1" s="1159" t="s">
        <v>633</v>
      </c>
      <c r="AB1" s="1159"/>
      <c r="AC1" s="1159"/>
      <c r="AD1" s="1159"/>
      <c r="AE1" s="1159"/>
    </row>
    <row r="2" spans="1:31" ht="21" customHeight="1">
      <c r="A2" s="1023" t="s">
        <v>634</v>
      </c>
      <c r="B2" s="1023"/>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1023"/>
      <c r="AC2" s="1023"/>
      <c r="AD2" s="1023"/>
      <c r="AE2" s="1023"/>
    </row>
    <row r="3" spans="1:31" ht="21" customHeight="1">
      <c r="A3" s="1024" t="s">
        <v>1210</v>
      </c>
      <c r="B3" s="1024"/>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row>
    <row r="4" spans="1:31" ht="32.25" customHeight="1">
      <c r="A4" s="235"/>
      <c r="B4" s="745"/>
      <c r="C4" s="208"/>
      <c r="D4" s="208"/>
      <c r="E4" s="208"/>
      <c r="F4" s="208"/>
      <c r="G4" s="208"/>
      <c r="H4" s="208"/>
      <c r="I4" s="208"/>
      <c r="J4" s="1043"/>
      <c r="K4" s="1043"/>
      <c r="L4" s="1043"/>
      <c r="M4" s="1043"/>
      <c r="N4" s="1043"/>
      <c r="O4" s="1043"/>
      <c r="Y4" s="1160" t="s">
        <v>635</v>
      </c>
      <c r="Z4" s="1160"/>
      <c r="AA4" s="1160"/>
      <c r="AB4" s="1160"/>
      <c r="AC4" s="1160"/>
      <c r="AD4" s="1160"/>
      <c r="AE4" s="1160"/>
    </row>
    <row r="5" spans="1:31" s="213" customFormat="1" ht="23.25" customHeight="1">
      <c r="A5" s="1161" t="s">
        <v>3</v>
      </c>
      <c r="B5" s="1161" t="s">
        <v>620</v>
      </c>
      <c r="C5" s="1156" t="s">
        <v>636</v>
      </c>
      <c r="D5" s="1156" t="s">
        <v>637</v>
      </c>
      <c r="E5" s="1044" t="s">
        <v>638</v>
      </c>
      <c r="F5" s="1044"/>
      <c r="G5" s="1044"/>
      <c r="H5" s="1044"/>
      <c r="I5" s="1044"/>
      <c r="J5" s="1044"/>
      <c r="K5" s="1044"/>
      <c r="L5" s="1044"/>
      <c r="M5" s="1044"/>
      <c r="N5" s="1044"/>
      <c r="O5" s="1044"/>
      <c r="P5" s="1044"/>
      <c r="Q5" s="1044"/>
      <c r="R5" s="1044"/>
      <c r="S5" s="1044"/>
      <c r="T5" s="1044"/>
      <c r="U5" s="1044"/>
      <c r="V5" s="1044"/>
      <c r="W5" s="1044"/>
      <c r="X5" s="1156" t="s">
        <v>639</v>
      </c>
      <c r="Y5" s="1156" t="s">
        <v>640</v>
      </c>
      <c r="Z5" s="1044" t="s">
        <v>345</v>
      </c>
      <c r="AA5" s="1044"/>
      <c r="AB5" s="1044"/>
      <c r="AC5" s="1044"/>
      <c r="AD5" s="1044"/>
      <c r="AE5" s="1044"/>
    </row>
    <row r="6" spans="1:31" s="213" customFormat="1" ht="23.25" customHeight="1">
      <c r="A6" s="1162"/>
      <c r="B6" s="1162"/>
      <c r="C6" s="1157"/>
      <c r="D6" s="1157"/>
      <c r="E6" s="1156" t="s">
        <v>641</v>
      </c>
      <c r="F6" s="1156" t="s">
        <v>642</v>
      </c>
      <c r="G6" s="1156" t="s">
        <v>643</v>
      </c>
      <c r="H6" s="1156" t="s">
        <v>644</v>
      </c>
      <c r="I6" s="1156" t="s">
        <v>645</v>
      </c>
      <c r="J6" s="1156" t="s">
        <v>646</v>
      </c>
      <c r="K6" s="1156" t="s">
        <v>647</v>
      </c>
      <c r="L6" s="1156" t="s">
        <v>648</v>
      </c>
      <c r="M6" s="1156" t="s">
        <v>649</v>
      </c>
      <c r="N6" s="1156" t="s">
        <v>650</v>
      </c>
      <c r="O6" s="1156" t="s">
        <v>651</v>
      </c>
      <c r="P6" s="1156" t="s">
        <v>652</v>
      </c>
      <c r="Q6" s="1156" t="s">
        <v>653</v>
      </c>
      <c r="R6" s="1156" t="s">
        <v>654</v>
      </c>
      <c r="S6" s="1156" t="s">
        <v>655</v>
      </c>
      <c r="T6" s="1156" t="s">
        <v>656</v>
      </c>
      <c r="U6" s="1156" t="s">
        <v>657</v>
      </c>
      <c r="V6" s="1156" t="s">
        <v>658</v>
      </c>
      <c r="W6" s="1156" t="s">
        <v>659</v>
      </c>
      <c r="X6" s="1157"/>
      <c r="Y6" s="1157"/>
      <c r="Z6" s="1156" t="s">
        <v>660</v>
      </c>
      <c r="AA6" s="1156" t="s">
        <v>661</v>
      </c>
      <c r="AB6" s="1156" t="s">
        <v>662</v>
      </c>
      <c r="AC6" s="1156" t="s">
        <v>663</v>
      </c>
      <c r="AD6" s="1156" t="s">
        <v>664</v>
      </c>
      <c r="AE6" s="1156" t="s">
        <v>665</v>
      </c>
    </row>
    <row r="7" spans="1:31" s="213" customFormat="1" ht="23.25" customHeight="1">
      <c r="A7" s="1162"/>
      <c r="B7" s="1162"/>
      <c r="C7" s="1157"/>
      <c r="D7" s="1157"/>
      <c r="E7" s="1157"/>
      <c r="F7" s="1157"/>
      <c r="G7" s="1157"/>
      <c r="H7" s="1157"/>
      <c r="I7" s="1157"/>
      <c r="J7" s="1157"/>
      <c r="K7" s="1157"/>
      <c r="L7" s="1157"/>
      <c r="M7" s="1157"/>
      <c r="N7" s="1157"/>
      <c r="O7" s="1157"/>
      <c r="P7" s="1157"/>
      <c r="Q7" s="1157"/>
      <c r="R7" s="1157"/>
      <c r="S7" s="1157"/>
      <c r="T7" s="1157"/>
      <c r="U7" s="1157"/>
      <c r="V7" s="1157"/>
      <c r="W7" s="1157"/>
      <c r="X7" s="1157"/>
      <c r="Y7" s="1157"/>
      <c r="Z7" s="1157"/>
      <c r="AA7" s="1157"/>
      <c r="AB7" s="1157"/>
      <c r="AC7" s="1157"/>
      <c r="AD7" s="1157"/>
      <c r="AE7" s="1157"/>
    </row>
    <row r="8" spans="1:31" s="213" customFormat="1" ht="23.25" customHeight="1">
      <c r="A8" s="1162"/>
      <c r="B8" s="1162"/>
      <c r="C8" s="1157"/>
      <c r="D8" s="1157"/>
      <c r="E8" s="1157"/>
      <c r="F8" s="1157"/>
      <c r="G8" s="1157"/>
      <c r="H8" s="1157"/>
      <c r="I8" s="1157"/>
      <c r="J8" s="1157"/>
      <c r="K8" s="1157"/>
      <c r="L8" s="1157"/>
      <c r="M8" s="1157"/>
      <c r="N8" s="1157"/>
      <c r="O8" s="1157"/>
      <c r="P8" s="1157"/>
      <c r="Q8" s="1157"/>
      <c r="R8" s="1157"/>
      <c r="S8" s="1157"/>
      <c r="T8" s="1157"/>
      <c r="U8" s="1157"/>
      <c r="V8" s="1157"/>
      <c r="W8" s="1157"/>
      <c r="X8" s="1157"/>
      <c r="Y8" s="1157"/>
      <c r="Z8" s="1157"/>
      <c r="AA8" s="1157"/>
      <c r="AB8" s="1157"/>
      <c r="AC8" s="1157"/>
      <c r="AD8" s="1157"/>
      <c r="AE8" s="1157"/>
    </row>
    <row r="9" spans="1:31" s="213" customFormat="1" ht="23.25" customHeight="1">
      <c r="A9" s="1162"/>
      <c r="B9" s="1162"/>
      <c r="C9" s="1157"/>
      <c r="D9" s="1157"/>
      <c r="E9" s="1157"/>
      <c r="F9" s="1157"/>
      <c r="G9" s="1157"/>
      <c r="H9" s="1157"/>
      <c r="I9" s="1157"/>
      <c r="J9" s="1157"/>
      <c r="K9" s="1157"/>
      <c r="L9" s="1157"/>
      <c r="M9" s="1157"/>
      <c r="N9" s="1157"/>
      <c r="O9" s="1157"/>
      <c r="P9" s="1157"/>
      <c r="Q9" s="1157"/>
      <c r="R9" s="1157"/>
      <c r="S9" s="1157"/>
      <c r="T9" s="1157"/>
      <c r="U9" s="1157"/>
      <c r="V9" s="1157"/>
      <c r="W9" s="1157"/>
      <c r="X9" s="1157"/>
      <c r="Y9" s="1157"/>
      <c r="Z9" s="1157"/>
      <c r="AA9" s="1157"/>
      <c r="AB9" s="1157"/>
      <c r="AC9" s="1157"/>
      <c r="AD9" s="1157"/>
      <c r="AE9" s="1157"/>
    </row>
    <row r="10" spans="1:31" s="213" customFormat="1" ht="23.25" customHeight="1">
      <c r="A10" s="1162"/>
      <c r="B10" s="1162"/>
      <c r="C10" s="1157"/>
      <c r="D10" s="1157"/>
      <c r="E10" s="1157"/>
      <c r="F10" s="1157"/>
      <c r="G10" s="1157"/>
      <c r="H10" s="1157"/>
      <c r="I10" s="1157"/>
      <c r="J10" s="1157"/>
      <c r="K10" s="1157"/>
      <c r="L10" s="1157"/>
      <c r="M10" s="1157"/>
      <c r="N10" s="1157"/>
      <c r="O10" s="1157"/>
      <c r="P10" s="1157"/>
      <c r="Q10" s="1157"/>
      <c r="R10" s="1157"/>
      <c r="S10" s="1157"/>
      <c r="T10" s="1157"/>
      <c r="U10" s="1157"/>
      <c r="V10" s="1157"/>
      <c r="W10" s="1157"/>
      <c r="X10" s="1157"/>
      <c r="Y10" s="1157"/>
      <c r="Z10" s="1157"/>
      <c r="AA10" s="1157"/>
      <c r="AB10" s="1157"/>
      <c r="AC10" s="1157"/>
      <c r="AD10" s="1157"/>
      <c r="AE10" s="1157"/>
    </row>
    <row r="11" spans="1:31" s="213" customFormat="1" ht="23.25" customHeight="1">
      <c r="A11" s="1162"/>
      <c r="B11" s="1162"/>
      <c r="C11" s="1157"/>
      <c r="D11" s="1157"/>
      <c r="E11" s="1157"/>
      <c r="F11" s="1157"/>
      <c r="G11" s="1157"/>
      <c r="H11" s="1157"/>
      <c r="I11" s="1157"/>
      <c r="J11" s="1157"/>
      <c r="K11" s="1157"/>
      <c r="L11" s="1157"/>
      <c r="M11" s="1157"/>
      <c r="N11" s="1157"/>
      <c r="O11" s="1157"/>
      <c r="P11" s="1157"/>
      <c r="Q11" s="1157"/>
      <c r="R11" s="1157"/>
      <c r="S11" s="1157"/>
      <c r="T11" s="1157"/>
      <c r="U11" s="1157"/>
      <c r="V11" s="1157"/>
      <c r="W11" s="1157"/>
      <c r="X11" s="1157"/>
      <c r="Y11" s="1157"/>
      <c r="Z11" s="1157"/>
      <c r="AA11" s="1157"/>
      <c r="AB11" s="1157"/>
      <c r="AC11" s="1157"/>
      <c r="AD11" s="1157"/>
      <c r="AE11" s="1157"/>
    </row>
    <row r="12" spans="1:31" s="213" customFormat="1" ht="23.25" customHeight="1">
      <c r="A12" s="1162"/>
      <c r="B12" s="1162"/>
      <c r="C12" s="1157"/>
      <c r="D12" s="1157"/>
      <c r="E12" s="1157"/>
      <c r="F12" s="1157"/>
      <c r="G12" s="1157"/>
      <c r="H12" s="1157"/>
      <c r="I12" s="1157"/>
      <c r="J12" s="1157"/>
      <c r="K12" s="1157"/>
      <c r="L12" s="1157"/>
      <c r="M12" s="1157"/>
      <c r="N12" s="1157"/>
      <c r="O12" s="1157"/>
      <c r="P12" s="1157"/>
      <c r="Q12" s="1157"/>
      <c r="R12" s="1157"/>
      <c r="S12" s="1157"/>
      <c r="T12" s="1157"/>
      <c r="U12" s="1157"/>
      <c r="V12" s="1157"/>
      <c r="W12" s="1157"/>
      <c r="X12" s="1157"/>
      <c r="Y12" s="1157"/>
      <c r="Z12" s="1157"/>
      <c r="AA12" s="1157"/>
      <c r="AB12" s="1157"/>
      <c r="AC12" s="1157"/>
      <c r="AD12" s="1157"/>
      <c r="AE12" s="1157"/>
    </row>
    <row r="13" spans="1:31" s="213" customFormat="1" ht="23.25" customHeight="1">
      <c r="A13" s="1162"/>
      <c r="B13" s="1162"/>
      <c r="C13" s="1157"/>
      <c r="D13" s="1157"/>
      <c r="E13" s="1157"/>
      <c r="F13" s="1157"/>
      <c r="G13" s="1157"/>
      <c r="H13" s="1157"/>
      <c r="I13" s="1157"/>
      <c r="J13" s="1157"/>
      <c r="K13" s="1157"/>
      <c r="L13" s="1157"/>
      <c r="M13" s="1157"/>
      <c r="N13" s="1157"/>
      <c r="O13" s="1157"/>
      <c r="P13" s="1157"/>
      <c r="Q13" s="1157"/>
      <c r="R13" s="1157"/>
      <c r="S13" s="1157"/>
      <c r="T13" s="1157"/>
      <c r="U13" s="1157"/>
      <c r="V13" s="1157"/>
      <c r="W13" s="1157"/>
      <c r="X13" s="1157"/>
      <c r="Y13" s="1157"/>
      <c r="Z13" s="1157"/>
      <c r="AA13" s="1157"/>
      <c r="AB13" s="1157"/>
      <c r="AC13" s="1157"/>
      <c r="AD13" s="1157"/>
      <c r="AE13" s="1157"/>
    </row>
    <row r="14" spans="1:31" s="213" customFormat="1" ht="24.75" customHeight="1">
      <c r="A14" s="1163"/>
      <c r="B14" s="1163"/>
      <c r="C14" s="1158"/>
      <c r="D14" s="1158"/>
      <c r="E14" s="1158"/>
      <c r="F14" s="1158"/>
      <c r="G14" s="1158"/>
      <c r="H14" s="1158"/>
      <c r="I14" s="1158"/>
      <c r="J14" s="1158"/>
      <c r="K14" s="1158"/>
      <c r="L14" s="1158"/>
      <c r="M14" s="1158"/>
      <c r="N14" s="1158"/>
      <c r="O14" s="1158"/>
      <c r="P14" s="1158"/>
      <c r="Q14" s="1158"/>
      <c r="R14" s="1158"/>
      <c r="S14" s="1158"/>
      <c r="T14" s="1158"/>
      <c r="U14" s="1158"/>
      <c r="V14" s="1158"/>
      <c r="W14" s="1158"/>
      <c r="X14" s="1158"/>
      <c r="Y14" s="1158"/>
      <c r="Z14" s="1158"/>
      <c r="AA14" s="1158"/>
      <c r="AB14" s="1158"/>
      <c r="AC14" s="1158"/>
      <c r="AD14" s="1158"/>
      <c r="AE14" s="1158"/>
    </row>
    <row r="15" spans="1:31" s="214" customFormat="1" ht="17.25" customHeight="1">
      <c r="A15" s="234" t="s">
        <v>10</v>
      </c>
      <c r="B15" s="234" t="s">
        <v>11</v>
      </c>
      <c r="C15" s="234">
        <v>1</v>
      </c>
      <c r="D15" s="234">
        <f>C15+1</f>
        <v>2</v>
      </c>
      <c r="E15" s="234">
        <f t="shared" ref="E15:AE15" si="0">D15+1</f>
        <v>3</v>
      </c>
      <c r="F15" s="234">
        <f t="shared" si="0"/>
        <v>4</v>
      </c>
      <c r="G15" s="234">
        <f t="shared" si="0"/>
        <v>5</v>
      </c>
      <c r="H15" s="234">
        <f t="shared" si="0"/>
        <v>6</v>
      </c>
      <c r="I15" s="234">
        <f t="shared" si="0"/>
        <v>7</v>
      </c>
      <c r="J15" s="234">
        <f t="shared" si="0"/>
        <v>8</v>
      </c>
      <c r="K15" s="234">
        <f t="shared" si="0"/>
        <v>9</v>
      </c>
      <c r="L15" s="234">
        <f t="shared" si="0"/>
        <v>10</v>
      </c>
      <c r="M15" s="234">
        <f t="shared" si="0"/>
        <v>11</v>
      </c>
      <c r="N15" s="234">
        <f t="shared" si="0"/>
        <v>12</v>
      </c>
      <c r="O15" s="234">
        <f t="shared" si="0"/>
        <v>13</v>
      </c>
      <c r="P15" s="234">
        <f t="shared" si="0"/>
        <v>14</v>
      </c>
      <c r="Q15" s="234">
        <f t="shared" si="0"/>
        <v>15</v>
      </c>
      <c r="R15" s="234">
        <f t="shared" si="0"/>
        <v>16</v>
      </c>
      <c r="S15" s="234">
        <f t="shared" si="0"/>
        <v>17</v>
      </c>
      <c r="T15" s="234">
        <f t="shared" si="0"/>
        <v>18</v>
      </c>
      <c r="U15" s="234">
        <f t="shared" si="0"/>
        <v>19</v>
      </c>
      <c r="V15" s="234">
        <f t="shared" si="0"/>
        <v>20</v>
      </c>
      <c r="W15" s="234">
        <f t="shared" si="0"/>
        <v>21</v>
      </c>
      <c r="X15" s="234">
        <f t="shared" si="0"/>
        <v>22</v>
      </c>
      <c r="Y15" s="234">
        <f t="shared" si="0"/>
        <v>23</v>
      </c>
      <c r="Z15" s="234">
        <f t="shared" si="0"/>
        <v>24</v>
      </c>
      <c r="AA15" s="234">
        <f t="shared" si="0"/>
        <v>25</v>
      </c>
      <c r="AB15" s="234">
        <f t="shared" si="0"/>
        <v>26</v>
      </c>
      <c r="AC15" s="234">
        <f t="shared" si="0"/>
        <v>27</v>
      </c>
      <c r="AD15" s="234">
        <f t="shared" si="0"/>
        <v>28</v>
      </c>
      <c r="AE15" s="234">
        <f t="shared" si="0"/>
        <v>29</v>
      </c>
    </row>
    <row r="16" spans="1:31" s="217" customFormat="1" ht="36" customHeight="1">
      <c r="A16" s="236"/>
      <c r="B16" s="242" t="s">
        <v>102</v>
      </c>
      <c r="C16" s="237">
        <f>SUM(C17:C26)</f>
        <v>5000000</v>
      </c>
      <c r="D16" s="237">
        <f>SUM(D17:D26)</f>
        <v>4680000</v>
      </c>
      <c r="E16" s="237">
        <f>SUM(E17:E26)</f>
        <v>650000</v>
      </c>
      <c r="F16" s="237">
        <f t="shared" ref="F16:AE16" si="1">SUM(F17:F26)</f>
        <v>51000</v>
      </c>
      <c r="G16" s="237">
        <f t="shared" si="1"/>
        <v>1000</v>
      </c>
      <c r="H16" s="237">
        <f t="shared" si="1"/>
        <v>1075000</v>
      </c>
      <c r="I16" s="237">
        <f t="shared" si="1"/>
        <v>105000</v>
      </c>
      <c r="J16" s="237">
        <f t="shared" si="1"/>
        <v>315000</v>
      </c>
      <c r="K16" s="237">
        <f t="shared" si="1"/>
        <v>87000</v>
      </c>
      <c r="L16" s="237">
        <f t="shared" si="1"/>
        <v>66579</v>
      </c>
      <c r="M16" s="237">
        <f t="shared" si="1"/>
        <v>0</v>
      </c>
      <c r="N16" s="237">
        <f>SUM(N17:N26)</f>
        <v>4400</v>
      </c>
      <c r="O16" s="237">
        <f t="shared" si="1"/>
        <v>28000</v>
      </c>
      <c r="P16" s="237">
        <f t="shared" si="1"/>
        <v>390000</v>
      </c>
      <c r="Q16" s="237">
        <f t="shared" si="1"/>
        <v>2800</v>
      </c>
      <c r="R16" s="237">
        <f t="shared" si="1"/>
        <v>82000</v>
      </c>
      <c r="S16" s="237">
        <f t="shared" si="1"/>
        <v>95000</v>
      </c>
      <c r="T16" s="237">
        <f t="shared" si="1"/>
        <v>68000</v>
      </c>
      <c r="U16" s="237">
        <f t="shared" si="1"/>
        <v>400</v>
      </c>
      <c r="V16" s="237">
        <f t="shared" si="1"/>
        <v>4000</v>
      </c>
      <c r="W16" s="237">
        <f t="shared" si="1"/>
        <v>1654821</v>
      </c>
      <c r="X16" s="237">
        <f t="shared" si="1"/>
        <v>0</v>
      </c>
      <c r="Y16" s="237">
        <f t="shared" si="1"/>
        <v>320000</v>
      </c>
      <c r="Z16" s="237">
        <f t="shared" si="1"/>
        <v>314000</v>
      </c>
      <c r="AA16" s="237">
        <f t="shared" si="1"/>
        <v>4000</v>
      </c>
      <c r="AB16" s="237">
        <f t="shared" si="1"/>
        <v>1400</v>
      </c>
      <c r="AC16" s="237">
        <f t="shared" si="1"/>
        <v>0</v>
      </c>
      <c r="AD16" s="237">
        <f t="shared" si="1"/>
        <v>0</v>
      </c>
      <c r="AE16" s="237">
        <f t="shared" si="1"/>
        <v>600</v>
      </c>
    </row>
    <row r="17" spans="1:31" s="208" customFormat="1" ht="36" customHeight="1">
      <c r="A17" s="228">
        <v>1</v>
      </c>
      <c r="B17" s="229" t="s">
        <v>613</v>
      </c>
      <c r="C17" s="222">
        <f>D17+X17+Y17</f>
        <v>3277221</v>
      </c>
      <c r="D17" s="222">
        <f>SUM(E17:W17)</f>
        <v>3277221</v>
      </c>
      <c r="E17" s="222">
        <v>568770</v>
      </c>
      <c r="F17" s="222">
        <v>9160</v>
      </c>
      <c r="G17" s="222">
        <v>400</v>
      </c>
      <c r="H17" s="222">
        <v>271520</v>
      </c>
      <c r="I17" s="222">
        <v>64580</v>
      </c>
      <c r="J17" s="222">
        <v>229000</v>
      </c>
      <c r="K17" s="222">
        <v>50000</v>
      </c>
      <c r="L17" s="222">
        <v>30150</v>
      </c>
      <c r="M17" s="222">
        <v>0</v>
      </c>
      <c r="N17" s="222">
        <v>3700</v>
      </c>
      <c r="O17" s="222">
        <v>10720</v>
      </c>
      <c r="P17" s="222">
        <v>200000</v>
      </c>
      <c r="Q17" s="222">
        <v>2800</v>
      </c>
      <c r="R17" s="222">
        <v>82000</v>
      </c>
      <c r="S17" s="222">
        <v>53640</v>
      </c>
      <c r="T17" s="222">
        <v>43660</v>
      </c>
      <c r="U17" s="222">
        <v>400</v>
      </c>
      <c r="V17" s="222">
        <v>1900</v>
      </c>
      <c r="W17" s="222">
        <f>'PL16'!E56</f>
        <v>1654821</v>
      </c>
      <c r="X17" s="222"/>
      <c r="Y17" s="222">
        <f>Z17+AA17+AB17+AC17+AD17+AE17</f>
        <v>0</v>
      </c>
      <c r="Z17" s="222"/>
      <c r="AA17" s="222"/>
      <c r="AB17" s="222"/>
      <c r="AC17" s="222"/>
      <c r="AD17" s="222"/>
      <c r="AE17" s="222"/>
    </row>
    <row r="18" spans="1:31" s="208" customFormat="1" ht="36" customHeight="1">
      <c r="A18" s="228">
        <f>A17+1</f>
        <v>2</v>
      </c>
      <c r="B18" s="229" t="s">
        <v>612</v>
      </c>
      <c r="C18" s="222">
        <f t="shared" ref="C18:C26" si="2">D18+X18+Y18</f>
        <v>150100</v>
      </c>
      <c r="D18" s="222">
        <f t="shared" ref="D18:D26" si="3">SUM(E18:W18)</f>
        <v>150100</v>
      </c>
      <c r="E18" s="222">
        <v>590</v>
      </c>
      <c r="F18" s="222">
        <v>6100</v>
      </c>
      <c r="G18" s="222">
        <v>0</v>
      </c>
      <c r="H18" s="222">
        <v>33000</v>
      </c>
      <c r="I18" s="222">
        <v>8500</v>
      </c>
      <c r="J18" s="222">
        <v>70000</v>
      </c>
      <c r="K18" s="222">
        <v>8500</v>
      </c>
      <c r="L18" s="222">
        <v>3160</v>
      </c>
      <c r="M18" s="222">
        <v>0</v>
      </c>
      <c r="N18" s="222">
        <v>180</v>
      </c>
      <c r="O18" s="222">
        <v>3760</v>
      </c>
      <c r="P18" s="222">
        <v>9500</v>
      </c>
      <c r="Q18" s="222"/>
      <c r="R18" s="222"/>
      <c r="S18" s="222">
        <v>2760</v>
      </c>
      <c r="T18" s="222">
        <v>4050</v>
      </c>
      <c r="U18" s="222">
        <v>0</v>
      </c>
      <c r="V18" s="222">
        <v>0</v>
      </c>
      <c r="W18" s="222"/>
      <c r="X18" s="222"/>
      <c r="Y18" s="222">
        <f t="shared" ref="Y18:Y26" si="4">Z18+AA18+AB18+AC18+AD18+AE18</f>
        <v>0</v>
      </c>
      <c r="Z18" s="222"/>
      <c r="AA18" s="222"/>
      <c r="AB18" s="222"/>
      <c r="AC18" s="222"/>
      <c r="AD18" s="222"/>
      <c r="AE18" s="222"/>
    </row>
    <row r="19" spans="1:31" s="208" customFormat="1" ht="36" customHeight="1">
      <c r="A19" s="228">
        <f t="shared" ref="A19:A26" si="5">A18+1</f>
        <v>3</v>
      </c>
      <c r="B19" s="229" t="s">
        <v>611</v>
      </c>
      <c r="C19" s="222">
        <f t="shared" si="2"/>
        <v>148100</v>
      </c>
      <c r="D19" s="222">
        <f t="shared" si="3"/>
        <v>148100</v>
      </c>
      <c r="E19" s="222">
        <v>1300</v>
      </c>
      <c r="F19" s="222">
        <v>850</v>
      </c>
      <c r="G19" s="222">
        <v>0</v>
      </c>
      <c r="H19" s="222">
        <v>95500</v>
      </c>
      <c r="I19" s="222">
        <v>4400</v>
      </c>
      <c r="J19" s="222">
        <v>16000</v>
      </c>
      <c r="K19" s="222">
        <v>5400</v>
      </c>
      <c r="L19" s="222">
        <v>2160</v>
      </c>
      <c r="M19" s="222">
        <v>0</v>
      </c>
      <c r="N19" s="222">
        <v>100</v>
      </c>
      <c r="O19" s="222">
        <v>1800</v>
      </c>
      <c r="P19" s="222">
        <v>15000</v>
      </c>
      <c r="Q19" s="222"/>
      <c r="R19" s="222"/>
      <c r="S19" s="222">
        <v>1650</v>
      </c>
      <c r="T19" s="222">
        <v>3040</v>
      </c>
      <c r="U19" s="222">
        <v>0</v>
      </c>
      <c r="V19" s="222">
        <v>900</v>
      </c>
      <c r="W19" s="222"/>
      <c r="X19" s="222"/>
      <c r="Y19" s="222">
        <f t="shared" si="4"/>
        <v>0</v>
      </c>
      <c r="Z19" s="222"/>
      <c r="AA19" s="222"/>
      <c r="AB19" s="222"/>
      <c r="AC19" s="222"/>
      <c r="AD19" s="222"/>
      <c r="AE19" s="222"/>
    </row>
    <row r="20" spans="1:31" s="208" customFormat="1" ht="36" customHeight="1">
      <c r="A20" s="228">
        <f t="shared" si="5"/>
        <v>4</v>
      </c>
      <c r="B20" s="229" t="s">
        <v>610</v>
      </c>
      <c r="C20" s="222">
        <f t="shared" si="2"/>
        <v>486579</v>
      </c>
      <c r="D20" s="222">
        <f t="shared" si="3"/>
        <v>166579</v>
      </c>
      <c r="E20" s="222">
        <v>8300</v>
      </c>
      <c r="F20" s="222">
        <v>1100</v>
      </c>
      <c r="G20" s="222">
        <v>0</v>
      </c>
      <c r="H20" s="222">
        <v>84000</v>
      </c>
      <c r="I20" s="222">
        <v>7500</v>
      </c>
      <c r="J20" s="222">
        <v>0</v>
      </c>
      <c r="K20" s="222">
        <v>7500</v>
      </c>
      <c r="L20" s="222">
        <v>23579</v>
      </c>
      <c r="M20" s="222">
        <v>0</v>
      </c>
      <c r="N20" s="222">
        <v>170</v>
      </c>
      <c r="O20" s="222">
        <v>2330</v>
      </c>
      <c r="P20" s="222">
        <v>25000</v>
      </c>
      <c r="Q20" s="222"/>
      <c r="R20" s="222"/>
      <c r="S20" s="222">
        <v>1500</v>
      </c>
      <c r="T20" s="222">
        <v>5600</v>
      </c>
      <c r="U20" s="222">
        <v>0</v>
      </c>
      <c r="V20" s="222">
        <v>0</v>
      </c>
      <c r="W20" s="222"/>
      <c r="X20" s="222"/>
      <c r="Y20" s="222">
        <f t="shared" si="4"/>
        <v>320000</v>
      </c>
      <c r="Z20" s="222">
        <v>314000</v>
      </c>
      <c r="AA20" s="222">
        <v>4000</v>
      </c>
      <c r="AB20" s="222">
        <v>1400</v>
      </c>
      <c r="AC20" s="222"/>
      <c r="AD20" s="222"/>
      <c r="AE20" s="222">
        <v>600</v>
      </c>
    </row>
    <row r="21" spans="1:31" s="208" customFormat="1" ht="36" customHeight="1">
      <c r="A21" s="228">
        <f t="shared" si="5"/>
        <v>5</v>
      </c>
      <c r="B21" s="229" t="s">
        <v>609</v>
      </c>
      <c r="C21" s="222">
        <f t="shared" si="2"/>
        <v>26500</v>
      </c>
      <c r="D21" s="222">
        <f t="shared" si="3"/>
        <v>26500</v>
      </c>
      <c r="E21" s="222">
        <v>830</v>
      </c>
      <c r="F21" s="222">
        <v>1500</v>
      </c>
      <c r="G21" s="222">
        <v>300</v>
      </c>
      <c r="H21" s="222">
        <v>13200</v>
      </c>
      <c r="I21" s="222">
        <v>2400</v>
      </c>
      <c r="J21" s="222">
        <v>0</v>
      </c>
      <c r="K21" s="222">
        <v>2000</v>
      </c>
      <c r="L21" s="222">
        <v>2060</v>
      </c>
      <c r="M21" s="222">
        <v>0</v>
      </c>
      <c r="N21" s="222">
        <v>40</v>
      </c>
      <c r="O21" s="222">
        <v>280</v>
      </c>
      <c r="P21" s="222">
        <v>1000</v>
      </c>
      <c r="Q21" s="222"/>
      <c r="R21" s="222"/>
      <c r="S21" s="222">
        <v>690</v>
      </c>
      <c r="T21" s="222">
        <v>2200</v>
      </c>
      <c r="U21" s="222">
        <v>0</v>
      </c>
      <c r="V21" s="222">
        <v>0</v>
      </c>
      <c r="W21" s="222">
        <v>0</v>
      </c>
      <c r="X21" s="222"/>
      <c r="Y21" s="222">
        <f t="shared" si="4"/>
        <v>0</v>
      </c>
      <c r="Z21" s="222"/>
      <c r="AA21" s="222"/>
      <c r="AB21" s="222"/>
      <c r="AC21" s="222"/>
      <c r="AD21" s="222"/>
      <c r="AE21" s="222"/>
    </row>
    <row r="22" spans="1:31" s="208" customFormat="1" ht="36" customHeight="1">
      <c r="A22" s="228">
        <f t="shared" si="5"/>
        <v>6</v>
      </c>
      <c r="B22" s="229" t="s">
        <v>608</v>
      </c>
      <c r="C22" s="222">
        <f t="shared" si="2"/>
        <v>129400</v>
      </c>
      <c r="D22" s="222">
        <f t="shared" si="3"/>
        <v>129400</v>
      </c>
      <c r="E22" s="222">
        <v>11760</v>
      </c>
      <c r="F22" s="222">
        <v>640</v>
      </c>
      <c r="G22" s="222">
        <v>0</v>
      </c>
      <c r="H22" s="222">
        <v>84680</v>
      </c>
      <c r="I22" s="222">
        <v>5230</v>
      </c>
      <c r="J22" s="222">
        <v>0</v>
      </c>
      <c r="K22" s="222">
        <v>5000</v>
      </c>
      <c r="L22" s="222">
        <v>1560</v>
      </c>
      <c r="M22" s="222">
        <v>0</v>
      </c>
      <c r="N22" s="222">
        <v>60</v>
      </c>
      <c r="O22" s="222">
        <v>4260</v>
      </c>
      <c r="P22" s="222">
        <v>14000</v>
      </c>
      <c r="Q22" s="222"/>
      <c r="R22" s="222"/>
      <c r="S22" s="222">
        <v>160</v>
      </c>
      <c r="T22" s="222">
        <v>2050</v>
      </c>
      <c r="U22" s="222">
        <v>0</v>
      </c>
      <c r="V22" s="222">
        <v>0</v>
      </c>
      <c r="W22" s="222">
        <v>0</v>
      </c>
      <c r="X22" s="222"/>
      <c r="Y22" s="222">
        <f t="shared" si="4"/>
        <v>0</v>
      </c>
      <c r="Z22" s="222"/>
      <c r="AA22" s="222"/>
      <c r="AB22" s="222"/>
      <c r="AC22" s="222"/>
      <c r="AD22" s="222"/>
      <c r="AE22" s="222"/>
    </row>
    <row r="23" spans="1:31" s="208" customFormat="1" ht="36" customHeight="1">
      <c r="A23" s="228">
        <f t="shared" si="5"/>
        <v>7</v>
      </c>
      <c r="B23" s="229" t="s">
        <v>607</v>
      </c>
      <c r="C23" s="222">
        <f t="shared" si="2"/>
        <v>95800</v>
      </c>
      <c r="D23" s="222">
        <f t="shared" si="3"/>
        <v>95800</v>
      </c>
      <c r="E23" s="222">
        <v>19000</v>
      </c>
      <c r="F23" s="222">
        <v>25000</v>
      </c>
      <c r="G23" s="222">
        <v>0</v>
      </c>
      <c r="H23" s="222">
        <v>34500</v>
      </c>
      <c r="I23" s="222">
        <v>1300</v>
      </c>
      <c r="J23" s="222">
        <v>0</v>
      </c>
      <c r="K23" s="222">
        <v>1000</v>
      </c>
      <c r="L23" s="222">
        <v>760</v>
      </c>
      <c r="M23" s="222">
        <v>0</v>
      </c>
      <c r="N23" s="222">
        <v>0</v>
      </c>
      <c r="O23" s="222">
        <v>2200</v>
      </c>
      <c r="P23" s="222">
        <v>5000</v>
      </c>
      <c r="Q23" s="222"/>
      <c r="R23" s="222"/>
      <c r="S23" s="222">
        <v>5940</v>
      </c>
      <c r="T23" s="222">
        <v>1100</v>
      </c>
      <c r="U23" s="222">
        <v>0</v>
      </c>
      <c r="V23" s="222">
        <v>0</v>
      </c>
      <c r="W23" s="222">
        <v>0</v>
      </c>
      <c r="X23" s="222"/>
      <c r="Y23" s="222">
        <f t="shared" si="4"/>
        <v>0</v>
      </c>
      <c r="Z23" s="222"/>
      <c r="AA23" s="222"/>
      <c r="AB23" s="222"/>
      <c r="AC23" s="222"/>
      <c r="AD23" s="222"/>
      <c r="AE23" s="222"/>
    </row>
    <row r="24" spans="1:31" s="208" customFormat="1" ht="36" customHeight="1">
      <c r="A24" s="228">
        <f t="shared" si="5"/>
        <v>8</v>
      </c>
      <c r="B24" s="229" t="s">
        <v>606</v>
      </c>
      <c r="C24" s="222">
        <f t="shared" si="2"/>
        <v>87200</v>
      </c>
      <c r="D24" s="222">
        <f t="shared" si="3"/>
        <v>87200</v>
      </c>
      <c r="E24" s="222">
        <v>350</v>
      </c>
      <c r="F24" s="222">
        <v>1050</v>
      </c>
      <c r="G24" s="222">
        <v>0</v>
      </c>
      <c r="H24" s="222">
        <v>75000</v>
      </c>
      <c r="I24" s="222">
        <v>1700</v>
      </c>
      <c r="J24" s="222">
        <v>0</v>
      </c>
      <c r="K24" s="222">
        <v>2200</v>
      </c>
      <c r="L24" s="222">
        <v>950</v>
      </c>
      <c r="M24" s="222">
        <v>0</v>
      </c>
      <c r="N24" s="222">
        <v>50</v>
      </c>
      <c r="O24" s="222">
        <v>650</v>
      </c>
      <c r="P24" s="222">
        <v>400</v>
      </c>
      <c r="Q24" s="222"/>
      <c r="R24" s="222"/>
      <c r="S24" s="222">
        <v>3150</v>
      </c>
      <c r="T24" s="222">
        <v>1700</v>
      </c>
      <c r="U24" s="222">
        <v>0</v>
      </c>
      <c r="V24" s="222">
        <v>0</v>
      </c>
      <c r="W24" s="222">
        <v>0</v>
      </c>
      <c r="X24" s="222"/>
      <c r="Y24" s="222">
        <f t="shared" si="4"/>
        <v>0</v>
      </c>
      <c r="Z24" s="222"/>
      <c r="AA24" s="222"/>
      <c r="AB24" s="222"/>
      <c r="AC24" s="222"/>
      <c r="AD24" s="222"/>
      <c r="AE24" s="222"/>
    </row>
    <row r="25" spans="1:31" s="208" customFormat="1" ht="36" customHeight="1">
      <c r="A25" s="228">
        <f t="shared" si="5"/>
        <v>9</v>
      </c>
      <c r="B25" s="229" t="s">
        <v>605</v>
      </c>
      <c r="C25" s="222">
        <f t="shared" si="2"/>
        <v>539200</v>
      </c>
      <c r="D25" s="222">
        <f t="shared" si="3"/>
        <v>539200</v>
      </c>
      <c r="E25" s="222">
        <v>39100</v>
      </c>
      <c r="F25" s="222">
        <v>5000</v>
      </c>
      <c r="G25" s="222">
        <v>300</v>
      </c>
      <c r="H25" s="222">
        <v>336000</v>
      </c>
      <c r="I25" s="222">
        <v>8500</v>
      </c>
      <c r="J25" s="222">
        <v>0</v>
      </c>
      <c r="K25" s="222">
        <v>4400</v>
      </c>
      <c r="L25" s="222">
        <v>1750</v>
      </c>
      <c r="M25" s="222">
        <v>0</v>
      </c>
      <c r="N25" s="222">
        <v>100</v>
      </c>
      <c r="O25" s="222">
        <v>1600</v>
      </c>
      <c r="P25" s="222">
        <v>120000</v>
      </c>
      <c r="Q25" s="222"/>
      <c r="R25" s="222"/>
      <c r="S25" s="222">
        <v>18150</v>
      </c>
      <c r="T25" s="222">
        <v>3100</v>
      </c>
      <c r="U25" s="222">
        <v>0</v>
      </c>
      <c r="V25" s="222">
        <v>1200</v>
      </c>
      <c r="W25" s="222">
        <v>0</v>
      </c>
      <c r="X25" s="222"/>
      <c r="Y25" s="222">
        <f t="shared" si="4"/>
        <v>0</v>
      </c>
      <c r="Z25" s="222"/>
      <c r="AA25" s="222"/>
      <c r="AB25" s="222"/>
      <c r="AC25" s="222"/>
      <c r="AD25" s="222"/>
      <c r="AE25" s="222"/>
    </row>
    <row r="26" spans="1:31" s="208" customFormat="1" ht="36" customHeight="1">
      <c r="A26" s="228">
        <f t="shared" si="5"/>
        <v>10</v>
      </c>
      <c r="B26" s="229" t="s">
        <v>604</v>
      </c>
      <c r="C26" s="222">
        <f t="shared" si="2"/>
        <v>59900</v>
      </c>
      <c r="D26" s="222">
        <f t="shared" si="3"/>
        <v>59900</v>
      </c>
      <c r="E26" s="222">
        <v>0</v>
      </c>
      <c r="F26" s="222">
        <v>600</v>
      </c>
      <c r="G26" s="222">
        <v>0</v>
      </c>
      <c r="H26" s="222">
        <v>47600</v>
      </c>
      <c r="I26" s="222">
        <v>890</v>
      </c>
      <c r="J26" s="222">
        <v>0</v>
      </c>
      <c r="K26" s="222">
        <v>1000</v>
      </c>
      <c r="L26" s="222">
        <v>450</v>
      </c>
      <c r="M26" s="222">
        <v>0</v>
      </c>
      <c r="N26" s="222">
        <v>0</v>
      </c>
      <c r="O26" s="222">
        <v>400</v>
      </c>
      <c r="P26" s="222">
        <v>100</v>
      </c>
      <c r="Q26" s="222"/>
      <c r="R26" s="222"/>
      <c r="S26" s="222">
        <v>7360</v>
      </c>
      <c r="T26" s="222">
        <v>1500</v>
      </c>
      <c r="U26" s="222">
        <v>0</v>
      </c>
      <c r="V26" s="222">
        <v>0</v>
      </c>
      <c r="W26" s="222">
        <v>0</v>
      </c>
      <c r="X26" s="222"/>
      <c r="Y26" s="222">
        <f t="shared" si="4"/>
        <v>0</v>
      </c>
      <c r="Z26" s="222"/>
      <c r="AA26" s="222"/>
      <c r="AB26" s="222"/>
      <c r="AC26" s="222"/>
      <c r="AD26" s="222"/>
      <c r="AE26" s="222"/>
    </row>
    <row r="27" spans="1:31" ht="15.95" customHeight="1">
      <c r="A27" s="220"/>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row>
    <row r="28" spans="1:31" ht="27.75" customHeight="1">
      <c r="A28" s="218" t="s">
        <v>603</v>
      </c>
      <c r="B28" s="746"/>
    </row>
    <row r="29" spans="1:31" ht="14.25" customHeight="1">
      <c r="B29" s="218" t="s">
        <v>666</v>
      </c>
    </row>
    <row r="30" spans="1:31" ht="14.25" customHeight="1">
      <c r="B30" s="218" t="s">
        <v>667</v>
      </c>
    </row>
    <row r="31" spans="1:31" ht="18.75">
      <c r="A31" s="208"/>
      <c r="B31" s="218" t="s">
        <v>668</v>
      </c>
      <c r="C31" s="208"/>
      <c r="D31" s="208"/>
      <c r="E31" s="208"/>
      <c r="F31" s="208"/>
      <c r="G31" s="208"/>
      <c r="H31" s="208"/>
      <c r="I31" s="208"/>
      <c r="J31" s="208"/>
      <c r="K31" s="208"/>
      <c r="L31" s="208"/>
      <c r="M31" s="208"/>
      <c r="N31" s="208"/>
      <c r="O31" s="208"/>
    </row>
    <row r="32" spans="1:31" ht="18.75">
      <c r="A32" s="208"/>
      <c r="B32" s="208"/>
      <c r="C32" s="208"/>
      <c r="D32" s="208"/>
      <c r="E32" s="208"/>
      <c r="F32" s="208"/>
      <c r="G32" s="208"/>
      <c r="H32" s="208"/>
      <c r="I32" s="208"/>
      <c r="J32" s="208"/>
      <c r="K32" s="208"/>
      <c r="L32" s="208"/>
      <c r="M32" s="208"/>
      <c r="N32" s="208"/>
      <c r="O32" s="208"/>
    </row>
    <row r="33" spans="1:15" ht="18.75">
      <c r="A33" s="208"/>
      <c r="B33" s="208"/>
      <c r="C33" s="208"/>
      <c r="D33" s="215"/>
      <c r="E33" s="208"/>
      <c r="F33" s="208"/>
      <c r="G33" s="208"/>
      <c r="H33" s="208"/>
      <c r="I33" s="208"/>
      <c r="J33" s="208"/>
      <c r="K33" s="208"/>
      <c r="L33" s="208"/>
      <c r="M33" s="208"/>
      <c r="N33" s="208"/>
      <c r="O33" s="208"/>
    </row>
    <row r="34" spans="1:15" ht="18.75">
      <c r="A34" s="208"/>
      <c r="B34" s="208"/>
      <c r="C34" s="208"/>
      <c r="D34" s="215"/>
      <c r="E34" s="208"/>
      <c r="F34" s="208"/>
      <c r="G34" s="208"/>
      <c r="H34" s="208"/>
      <c r="I34" s="208"/>
      <c r="J34" s="208"/>
      <c r="K34" s="208"/>
      <c r="L34" s="208"/>
      <c r="M34" s="208"/>
      <c r="N34" s="208"/>
      <c r="O34" s="208"/>
    </row>
    <row r="35" spans="1:15" ht="18.75">
      <c r="A35" s="208"/>
      <c r="B35" s="208"/>
      <c r="C35" s="208"/>
      <c r="D35" s="215"/>
      <c r="E35" s="208"/>
      <c r="F35" s="208"/>
      <c r="G35" s="208"/>
      <c r="H35" s="208"/>
      <c r="I35" s="208"/>
      <c r="J35" s="208"/>
      <c r="K35" s="208"/>
      <c r="L35" s="208"/>
      <c r="M35" s="208"/>
      <c r="N35" s="208"/>
      <c r="O35" s="208"/>
    </row>
    <row r="36" spans="1:15" ht="18.75">
      <c r="A36" s="208"/>
      <c r="B36" s="208"/>
      <c r="C36" s="208"/>
      <c r="D36" s="215"/>
      <c r="E36" s="208"/>
      <c r="F36" s="208"/>
      <c r="G36" s="208"/>
      <c r="H36" s="208"/>
      <c r="I36" s="208"/>
      <c r="J36" s="208"/>
      <c r="K36" s="208"/>
      <c r="L36" s="208"/>
      <c r="M36" s="208"/>
      <c r="N36" s="208"/>
      <c r="O36" s="208"/>
    </row>
    <row r="37" spans="1:15" ht="18.75">
      <c r="A37" s="208"/>
      <c r="B37" s="208"/>
      <c r="C37" s="208"/>
      <c r="D37" s="215"/>
      <c r="E37" s="208"/>
      <c r="F37" s="208"/>
      <c r="G37" s="208"/>
      <c r="H37" s="208"/>
      <c r="I37" s="208"/>
      <c r="J37" s="208"/>
      <c r="K37" s="208"/>
      <c r="L37" s="208"/>
      <c r="M37" s="208"/>
      <c r="N37" s="208"/>
      <c r="O37" s="208"/>
    </row>
    <row r="38" spans="1:15" ht="18.75">
      <c r="A38" s="208"/>
      <c r="B38" s="208"/>
      <c r="C38" s="208"/>
      <c r="D38" s="215"/>
      <c r="E38" s="208"/>
      <c r="F38" s="208"/>
      <c r="G38" s="208"/>
      <c r="H38" s="208"/>
      <c r="I38" s="208"/>
      <c r="J38" s="208"/>
      <c r="K38" s="208"/>
      <c r="L38" s="208"/>
      <c r="M38" s="208"/>
      <c r="N38" s="208"/>
      <c r="O38" s="208"/>
    </row>
    <row r="39" spans="1:15" ht="22.5" customHeight="1">
      <c r="A39" s="208"/>
      <c r="B39" s="208"/>
      <c r="C39" s="208"/>
      <c r="D39" s="215"/>
      <c r="E39" s="208"/>
      <c r="F39" s="208"/>
      <c r="G39" s="208"/>
      <c r="H39" s="208"/>
      <c r="I39" s="208"/>
      <c r="J39" s="208"/>
      <c r="K39" s="208"/>
      <c r="L39" s="208"/>
      <c r="M39" s="208"/>
      <c r="N39" s="208"/>
      <c r="O39" s="208"/>
    </row>
    <row r="40" spans="1:15" ht="18.75">
      <c r="A40" s="208"/>
      <c r="B40" s="208"/>
      <c r="C40" s="208"/>
      <c r="D40" s="215"/>
      <c r="E40" s="208"/>
      <c r="F40" s="208"/>
      <c r="G40" s="208"/>
      <c r="H40" s="208"/>
      <c r="I40" s="208"/>
      <c r="J40" s="208"/>
      <c r="K40" s="208"/>
      <c r="L40" s="208"/>
      <c r="M40" s="208"/>
      <c r="N40" s="208"/>
      <c r="O40" s="208"/>
    </row>
    <row r="41" spans="1:15" ht="18.75">
      <c r="A41" s="208"/>
      <c r="B41" s="208"/>
      <c r="C41" s="208"/>
      <c r="D41" s="215"/>
      <c r="E41" s="208"/>
      <c r="F41" s="208"/>
      <c r="G41" s="208"/>
      <c r="H41" s="208"/>
      <c r="I41" s="208"/>
      <c r="J41" s="208"/>
      <c r="K41" s="208"/>
      <c r="L41" s="208"/>
      <c r="M41" s="208"/>
      <c r="N41" s="208"/>
      <c r="O41" s="208"/>
    </row>
    <row r="42" spans="1:15" ht="18.75">
      <c r="A42" s="208"/>
      <c r="B42" s="208"/>
      <c r="D42" s="215"/>
      <c r="E42" s="208"/>
      <c r="F42" s="208"/>
      <c r="G42" s="208"/>
      <c r="H42" s="208"/>
      <c r="I42" s="208"/>
      <c r="J42" s="208"/>
      <c r="K42" s="208"/>
      <c r="L42" s="208"/>
      <c r="M42" s="208"/>
      <c r="N42" s="208"/>
      <c r="O42" s="208"/>
    </row>
    <row r="43" spans="1:15" ht="18.75">
      <c r="A43" s="208"/>
      <c r="B43" s="208"/>
      <c r="C43" s="208"/>
      <c r="D43" s="208"/>
      <c r="E43" s="208"/>
      <c r="F43" s="208"/>
      <c r="G43" s="208"/>
      <c r="H43" s="208"/>
      <c r="I43" s="208"/>
      <c r="J43" s="208"/>
      <c r="K43" s="208"/>
      <c r="L43" s="208"/>
      <c r="M43" s="208"/>
      <c r="N43" s="208"/>
      <c r="O43" s="208"/>
    </row>
  </sheetData>
  <mergeCells count="39">
    <mergeCell ref="E6:E14"/>
    <mergeCell ref="F6:F14"/>
    <mergeCell ref="H6:H14"/>
    <mergeCell ref="I6:I14"/>
    <mergeCell ref="AE6:AE14"/>
    <mergeCell ref="W6:W14"/>
    <mergeCell ref="Z6:Z14"/>
    <mergeCell ref="AA6:AA14"/>
    <mergeCell ref="AB6:AB14"/>
    <mergeCell ref="AC6:AC14"/>
    <mergeCell ref="AD6:AD14"/>
    <mergeCell ref="Y5:Y14"/>
    <mergeCell ref="Z5:AE5"/>
    <mergeCell ref="X5:X14"/>
    <mergeCell ref="Q6:Q14"/>
    <mergeCell ref="R6:R14"/>
    <mergeCell ref="P6:P14"/>
    <mergeCell ref="V6:V14"/>
    <mergeCell ref="J6:J14"/>
    <mergeCell ref="K6:K14"/>
    <mergeCell ref="L6:L14"/>
    <mergeCell ref="S6:S14"/>
    <mergeCell ref="T6:T14"/>
    <mergeCell ref="G6:G14"/>
    <mergeCell ref="J1:O1"/>
    <mergeCell ref="AA1:AE1"/>
    <mergeCell ref="A2:AE2"/>
    <mergeCell ref="A3:AE3"/>
    <mergeCell ref="J4:O4"/>
    <mergeCell ref="Y4:AE4"/>
    <mergeCell ref="U6:U14"/>
    <mergeCell ref="A5:A14"/>
    <mergeCell ref="B5:B14"/>
    <mergeCell ref="C5:C14"/>
    <mergeCell ref="D5:D14"/>
    <mergeCell ref="E5:W5"/>
    <mergeCell ref="M6:M14"/>
    <mergeCell ref="N6:N14"/>
    <mergeCell ref="O6:O14"/>
  </mergeCells>
  <printOptions horizontalCentered="1"/>
  <pageMargins left="0.31" right="0.33" top="0.66" bottom="0.24" header="0.37" footer="0.17"/>
  <pageSetup paperSize="9" scale="40" fitToHeight="5" orientation="landscape" r:id="rId1"/>
  <headerFooter alignWithMargins="0">
    <oddFooter>&amp;C&amp;".VnTime,  Italic"&amp;8
&amp;".VnTimeH,Regular"&amp;12&amp;P/&amp;N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140"/>
  <sheetViews>
    <sheetView showZeros="0" zoomScale="70" zoomScaleNormal="70" zoomScalePageLayoutView="70" workbookViewId="0">
      <pane xSplit="2" ySplit="10" topLeftCell="C41" activePane="bottomRight" state="frozen"/>
      <selection activeCell="D18" sqref="D18"/>
      <selection pane="topRight" activeCell="D18" sqref="D18"/>
      <selection pane="bottomLeft" activeCell="D18" sqref="D18"/>
      <selection pane="bottomRight" activeCell="E44" sqref="E44"/>
    </sheetView>
  </sheetViews>
  <sheetFormatPr defaultColWidth="10.28515625" defaultRowHeight="15.75" outlineLevelRow="1"/>
  <cols>
    <col min="1" max="1" width="5.85546875" style="118" customWidth="1"/>
    <col min="2" max="2" width="88.140625" style="118" customWidth="1"/>
    <col min="3" max="3" width="17.85546875" style="118" customWidth="1"/>
    <col min="4" max="6" width="16" style="118" customWidth="1"/>
    <col min="7" max="7" width="16.28515625" style="118" customWidth="1"/>
    <col min="8" max="16384" width="10.28515625" style="118"/>
  </cols>
  <sheetData>
    <row r="1" spans="1:8" ht="21" customHeight="1">
      <c r="A1" s="116"/>
      <c r="B1" s="116"/>
      <c r="C1" s="117"/>
      <c r="D1" s="1175" t="s">
        <v>342</v>
      </c>
      <c r="E1" s="1175"/>
      <c r="F1" s="1175"/>
      <c r="G1" s="1175"/>
    </row>
    <row r="2" spans="1:8" ht="42" customHeight="1">
      <c r="A2" s="1176" t="s">
        <v>343</v>
      </c>
      <c r="B2" s="1176"/>
      <c r="C2" s="1176"/>
      <c r="D2" s="1176"/>
      <c r="E2" s="1176"/>
      <c r="F2" s="1176"/>
      <c r="G2" s="1176"/>
    </row>
    <row r="3" spans="1:8" ht="18.75">
      <c r="A3" s="1177" t="s">
        <v>1210</v>
      </c>
      <c r="B3" s="1177"/>
      <c r="C3" s="1177"/>
      <c r="D3" s="1177"/>
      <c r="E3" s="1177"/>
      <c r="F3" s="1177"/>
      <c r="G3" s="1177"/>
    </row>
    <row r="4" spans="1:8" ht="21" customHeight="1">
      <c r="A4" s="1178"/>
      <c r="B4" s="1178"/>
      <c r="C4" s="1178"/>
      <c r="D4" s="1178"/>
      <c r="E4" s="1178"/>
      <c r="F4" s="1178"/>
      <c r="G4" s="1178"/>
    </row>
    <row r="5" spans="1:8" ht="19.5" customHeight="1">
      <c r="A5" s="119"/>
      <c r="B5" s="119"/>
      <c r="C5" s="120"/>
      <c r="D5" s="1179" t="s">
        <v>2</v>
      </c>
      <c r="E5" s="1179"/>
      <c r="F5" s="1179"/>
      <c r="G5" s="1179"/>
    </row>
    <row r="6" spans="1:8" s="121" customFormat="1" ht="23.25" customHeight="1">
      <c r="A6" s="1171" t="s">
        <v>3</v>
      </c>
      <c r="B6" s="1171" t="s">
        <v>4</v>
      </c>
      <c r="C6" s="1167" t="s">
        <v>344</v>
      </c>
      <c r="D6" s="1174" t="s">
        <v>345</v>
      </c>
      <c r="E6" s="1174"/>
      <c r="F6" s="1174"/>
      <c r="G6" s="1174"/>
    </row>
    <row r="7" spans="1:8" s="121" customFormat="1" ht="23.25" customHeight="1">
      <c r="A7" s="1172"/>
      <c r="B7" s="1172"/>
      <c r="C7" s="1168"/>
      <c r="D7" s="1167" t="s">
        <v>346</v>
      </c>
      <c r="E7" s="1166" t="s">
        <v>40</v>
      </c>
      <c r="F7" s="1166"/>
      <c r="G7" s="1167" t="s">
        <v>347</v>
      </c>
    </row>
    <row r="8" spans="1:8" s="121" customFormat="1" ht="23.25" customHeight="1">
      <c r="A8" s="1172"/>
      <c r="B8" s="1172"/>
      <c r="C8" s="1168"/>
      <c r="D8" s="1168"/>
      <c r="E8" s="1166" t="s">
        <v>348</v>
      </c>
      <c r="F8" s="1166" t="s">
        <v>349</v>
      </c>
      <c r="G8" s="1168"/>
    </row>
    <row r="9" spans="1:8" s="121" customFormat="1" ht="23.25" customHeight="1">
      <c r="A9" s="1172"/>
      <c r="B9" s="1172"/>
      <c r="C9" s="1168"/>
      <c r="D9" s="1168"/>
      <c r="E9" s="1166"/>
      <c r="F9" s="1166"/>
      <c r="G9" s="1168"/>
    </row>
    <row r="10" spans="1:8" s="121" customFormat="1" ht="38.25" customHeight="1">
      <c r="A10" s="1173"/>
      <c r="B10" s="1173"/>
      <c r="C10" s="1169"/>
      <c r="D10" s="1169"/>
      <c r="E10" s="1166"/>
      <c r="F10" s="1166"/>
      <c r="G10" s="1169"/>
    </row>
    <row r="11" spans="1:8" s="123" customFormat="1" ht="17.25" customHeight="1">
      <c r="A11" s="122" t="s">
        <v>10</v>
      </c>
      <c r="B11" s="122" t="s">
        <v>11</v>
      </c>
      <c r="C11" s="122" t="s">
        <v>350</v>
      </c>
      <c r="D11" s="122">
        <v>2</v>
      </c>
      <c r="E11" s="122" t="s">
        <v>351</v>
      </c>
      <c r="F11" s="122" t="s">
        <v>352</v>
      </c>
      <c r="G11" s="122">
        <f>D11+1</f>
        <v>3</v>
      </c>
    </row>
    <row r="12" spans="1:8" s="127" customFormat="1" ht="25.5" customHeight="1">
      <c r="A12" s="124"/>
      <c r="B12" s="125" t="s">
        <v>353</v>
      </c>
      <c r="C12" s="126">
        <f>C13+C43</f>
        <v>11790203</v>
      </c>
      <c r="D12" s="126">
        <f>D13+D43</f>
        <v>6544081</v>
      </c>
      <c r="E12" s="126">
        <f>E13+E43</f>
        <v>5773039</v>
      </c>
      <c r="F12" s="126">
        <f>F13+F43</f>
        <v>771042</v>
      </c>
      <c r="G12" s="126">
        <f>G13+G43</f>
        <v>5246122</v>
      </c>
      <c r="H12" s="120"/>
    </row>
    <row r="13" spans="1:8" s="131" customFormat="1" ht="25.5" customHeight="1">
      <c r="A13" s="128" t="s">
        <v>10</v>
      </c>
      <c r="B13" s="129" t="s">
        <v>354</v>
      </c>
      <c r="C13" s="130">
        <f>C14+C42</f>
        <v>9835024</v>
      </c>
      <c r="D13" s="130">
        <f>D14+D42</f>
        <v>4588902</v>
      </c>
      <c r="E13" s="130">
        <f>E14+E42</f>
        <v>3998049</v>
      </c>
      <c r="F13" s="130">
        <f>F14+F42</f>
        <v>590853</v>
      </c>
      <c r="G13" s="130">
        <f>G14+G42</f>
        <v>5246122</v>
      </c>
      <c r="H13" s="120"/>
    </row>
    <row r="14" spans="1:8" s="131" customFormat="1" ht="25.5" customHeight="1">
      <c r="A14" s="128" t="s">
        <v>355</v>
      </c>
      <c r="B14" s="129" t="s">
        <v>356</v>
      </c>
      <c r="C14" s="130">
        <f>C15+C28+C32+C33+C34+C35</f>
        <v>9827624</v>
      </c>
      <c r="D14" s="130">
        <f>D15+D28+D32+D33+D34+D35</f>
        <v>4581502</v>
      </c>
      <c r="E14" s="130">
        <f>E15+E28+E32+E33+E34+E35</f>
        <v>3990649</v>
      </c>
      <c r="F14" s="130">
        <f>F15+F28+F32+F33+F34+F35</f>
        <v>590853</v>
      </c>
      <c r="G14" s="130">
        <f>G15+G28+G32+G33+G34+G35</f>
        <v>5246122</v>
      </c>
      <c r="H14" s="120"/>
    </row>
    <row r="15" spans="1:8" s="127" customFormat="1" ht="25.5" customHeight="1">
      <c r="A15" s="128" t="s">
        <v>15</v>
      </c>
      <c r="B15" s="129" t="s">
        <v>357</v>
      </c>
      <c r="C15" s="130">
        <f>C16+C26+C27</f>
        <v>1024690</v>
      </c>
      <c r="D15" s="130">
        <f>D16+D26+D27</f>
        <v>599699</v>
      </c>
      <c r="E15" s="130">
        <f>E16+E26+E27</f>
        <v>426424</v>
      </c>
      <c r="F15" s="130">
        <f>F16+F26+F27</f>
        <v>173275</v>
      </c>
      <c r="G15" s="130">
        <f>G16+G26+G27</f>
        <v>424991</v>
      </c>
      <c r="H15" s="120"/>
    </row>
    <row r="16" spans="1:8" s="127" customFormat="1" ht="25.5" customHeight="1">
      <c r="A16" s="132">
        <v>1</v>
      </c>
      <c r="B16" s="133" t="s">
        <v>47</v>
      </c>
      <c r="C16" s="134">
        <f t="shared" ref="C16:C21" si="0">D16+G16</f>
        <v>1024690</v>
      </c>
      <c r="D16" s="134">
        <f t="shared" ref="D16:D24" si="1">E16+F16</f>
        <v>599699</v>
      </c>
      <c r="E16" s="134">
        <v>426424</v>
      </c>
      <c r="F16" s="134">
        <v>173275</v>
      </c>
      <c r="G16" s="134">
        <v>424991</v>
      </c>
      <c r="H16" s="120"/>
    </row>
    <row r="17" spans="1:8" s="138" customFormat="1" ht="25.5" customHeight="1">
      <c r="A17" s="135"/>
      <c r="B17" s="136" t="s">
        <v>358</v>
      </c>
      <c r="C17" s="137">
        <f t="shared" si="0"/>
        <v>0</v>
      </c>
      <c r="D17" s="134">
        <f t="shared" si="1"/>
        <v>0</v>
      </c>
      <c r="E17" s="134"/>
      <c r="F17" s="134"/>
      <c r="G17" s="134"/>
      <c r="H17" s="120"/>
    </row>
    <row r="18" spans="1:8" s="138" customFormat="1" ht="25.5" customHeight="1">
      <c r="A18" s="139" t="s">
        <v>19</v>
      </c>
      <c r="B18" s="136" t="s">
        <v>263</v>
      </c>
      <c r="C18" s="137">
        <f t="shared" si="0"/>
        <v>85900</v>
      </c>
      <c r="D18" s="137">
        <f t="shared" si="1"/>
        <v>85900</v>
      </c>
      <c r="E18" s="1000">
        <f>PL36_TCDT!D10</f>
        <v>85900</v>
      </c>
      <c r="F18" s="137"/>
      <c r="G18" s="137"/>
      <c r="H18" s="120"/>
    </row>
    <row r="19" spans="1:8" s="138" customFormat="1" ht="25.5" customHeight="1">
      <c r="A19" s="139" t="s">
        <v>19</v>
      </c>
      <c r="B19" s="136" t="s">
        <v>264</v>
      </c>
      <c r="C19" s="137">
        <f t="shared" si="0"/>
        <v>25900</v>
      </c>
      <c r="D19" s="137">
        <f t="shared" si="1"/>
        <v>25900</v>
      </c>
      <c r="E19" s="1000">
        <f>PL36_TCDT!E10</f>
        <v>25900</v>
      </c>
      <c r="F19" s="137"/>
      <c r="G19" s="134"/>
      <c r="H19" s="120"/>
    </row>
    <row r="20" spans="1:8" s="138" customFormat="1" ht="25.5" customHeight="1">
      <c r="A20" s="132"/>
      <c r="B20" s="136" t="s">
        <v>359</v>
      </c>
      <c r="C20" s="137">
        <f t="shared" si="0"/>
        <v>0</v>
      </c>
      <c r="D20" s="134">
        <f t="shared" si="1"/>
        <v>0</v>
      </c>
      <c r="E20" s="134"/>
      <c r="F20" s="134"/>
      <c r="G20" s="134"/>
      <c r="H20" s="120"/>
    </row>
    <row r="21" spans="1:8" s="138" customFormat="1" ht="25.5" customHeight="1">
      <c r="A21" s="140" t="s">
        <v>19</v>
      </c>
      <c r="B21" s="136" t="s">
        <v>360</v>
      </c>
      <c r="C21" s="137">
        <f t="shared" si="0"/>
        <v>390000</v>
      </c>
      <c r="D21" s="137">
        <f t="shared" si="1"/>
        <v>46800</v>
      </c>
      <c r="E21" s="137">
        <v>26800</v>
      </c>
      <c r="F21" s="137">
        <v>20000</v>
      </c>
      <c r="G21" s="137">
        <v>343200</v>
      </c>
      <c r="H21" s="141"/>
    </row>
    <row r="22" spans="1:8" s="138" customFormat="1" ht="25.5" customHeight="1">
      <c r="A22" s="140"/>
      <c r="B22" s="136" t="s">
        <v>361</v>
      </c>
      <c r="C22" s="137"/>
      <c r="D22" s="137">
        <f t="shared" si="1"/>
        <v>7800</v>
      </c>
      <c r="E22" s="137">
        <v>7800</v>
      </c>
      <c r="F22" s="137"/>
      <c r="G22" s="137"/>
      <c r="H22" s="120"/>
    </row>
    <row r="23" spans="1:8" s="138" customFormat="1" ht="25.5" customHeight="1">
      <c r="A23" s="140"/>
      <c r="B23" s="136" t="s">
        <v>362</v>
      </c>
      <c r="C23" s="137"/>
      <c r="D23" s="137">
        <f t="shared" si="1"/>
        <v>39000</v>
      </c>
      <c r="E23" s="137">
        <v>19000</v>
      </c>
      <c r="F23" s="137">
        <v>20000</v>
      </c>
      <c r="G23" s="137"/>
      <c r="H23" s="120"/>
    </row>
    <row r="24" spans="1:8" s="138" customFormat="1" ht="25.5" customHeight="1">
      <c r="A24" s="140" t="s">
        <v>19</v>
      </c>
      <c r="B24" s="136" t="s">
        <v>363</v>
      </c>
      <c r="C24" s="137">
        <f>D24+G24</f>
        <v>82000</v>
      </c>
      <c r="D24" s="137">
        <f t="shared" si="1"/>
        <v>82000</v>
      </c>
      <c r="E24" s="137">
        <v>82000</v>
      </c>
      <c r="F24" s="137">
        <v>0</v>
      </c>
      <c r="G24" s="137"/>
      <c r="H24" s="120"/>
    </row>
    <row r="25" spans="1:8" s="138" customFormat="1" ht="48" customHeight="1">
      <c r="A25" s="140" t="s">
        <v>19</v>
      </c>
      <c r="B25" s="142" t="s">
        <v>364</v>
      </c>
      <c r="C25" s="137"/>
      <c r="D25" s="137"/>
      <c r="E25" s="137"/>
      <c r="F25" s="137"/>
      <c r="G25" s="137"/>
      <c r="H25" s="120"/>
    </row>
    <row r="26" spans="1:8" s="127" customFormat="1" ht="64.5" customHeight="1">
      <c r="A26" s="132">
        <v>2</v>
      </c>
      <c r="B26" s="143" t="s">
        <v>61</v>
      </c>
      <c r="C26" s="137"/>
      <c r="D26" s="134"/>
      <c r="E26" s="134"/>
      <c r="F26" s="134"/>
      <c r="G26" s="134"/>
      <c r="H26" s="120"/>
    </row>
    <row r="27" spans="1:8" s="138" customFormat="1" ht="25.5" customHeight="1">
      <c r="A27" s="132">
        <v>3</v>
      </c>
      <c r="B27" s="133" t="s">
        <v>62</v>
      </c>
      <c r="C27" s="137"/>
      <c r="D27" s="134"/>
      <c r="E27" s="134"/>
      <c r="F27" s="134"/>
      <c r="G27" s="134"/>
      <c r="H27" s="120"/>
    </row>
    <row r="28" spans="1:8" s="131" customFormat="1" ht="25.5" customHeight="1">
      <c r="A28" s="128" t="s">
        <v>25</v>
      </c>
      <c r="B28" s="129" t="s">
        <v>63</v>
      </c>
      <c r="C28" s="130">
        <f>D28+G28</f>
        <v>6981357</v>
      </c>
      <c r="D28" s="130">
        <f>E28+F28</f>
        <v>2353149</v>
      </c>
      <c r="E28" s="130">
        <v>1993571</v>
      </c>
      <c r="F28" s="130">
        <v>359578</v>
      </c>
      <c r="G28" s="130">
        <v>4628208</v>
      </c>
      <c r="H28" s="120"/>
    </row>
    <row r="29" spans="1:8" s="127" customFormat="1" ht="25.5" customHeight="1">
      <c r="A29" s="128"/>
      <c r="B29" s="136" t="s">
        <v>365</v>
      </c>
      <c r="C29" s="137"/>
      <c r="D29" s="134"/>
      <c r="E29" s="134"/>
      <c r="F29" s="134"/>
      <c r="G29" s="134"/>
      <c r="H29" s="120"/>
    </row>
    <row r="30" spans="1:8" s="138" customFormat="1" ht="25.5" customHeight="1">
      <c r="A30" s="135">
        <v>1</v>
      </c>
      <c r="B30" s="136" t="s">
        <v>366</v>
      </c>
      <c r="C30" s="137">
        <f>D30+G30</f>
        <v>3353148</v>
      </c>
      <c r="D30" s="137">
        <f>E30+F30</f>
        <v>582560</v>
      </c>
      <c r="E30" s="137">
        <v>572560</v>
      </c>
      <c r="F30" s="137">
        <v>10000</v>
      </c>
      <c r="G30" s="137">
        <v>2770588</v>
      </c>
      <c r="H30" s="120"/>
    </row>
    <row r="31" spans="1:8" s="138" customFormat="1" ht="25.5" customHeight="1">
      <c r="A31" s="135">
        <f>A30+1</f>
        <v>2</v>
      </c>
      <c r="B31" s="136" t="s">
        <v>367</v>
      </c>
      <c r="C31" s="137">
        <f>D31+G31</f>
        <v>18178</v>
      </c>
      <c r="D31" s="137">
        <f>E31+F31</f>
        <v>16178</v>
      </c>
      <c r="E31" s="137">
        <v>14578</v>
      </c>
      <c r="F31" s="137">
        <v>1600</v>
      </c>
      <c r="G31" s="137">
        <v>2000</v>
      </c>
      <c r="H31" s="120"/>
    </row>
    <row r="32" spans="1:8" s="127" customFormat="1" ht="25.5" customHeight="1">
      <c r="A32" s="128" t="s">
        <v>32</v>
      </c>
      <c r="B32" s="129" t="s">
        <v>368</v>
      </c>
      <c r="C32" s="130">
        <f>D32+G32</f>
        <v>2300</v>
      </c>
      <c r="D32" s="130">
        <f>E32+G32</f>
        <v>2300</v>
      </c>
      <c r="E32" s="130">
        <v>2300</v>
      </c>
      <c r="F32" s="130"/>
      <c r="G32" s="130"/>
      <c r="H32" s="120"/>
    </row>
    <row r="33" spans="1:8" s="127" customFormat="1" ht="25.5" customHeight="1">
      <c r="A33" s="128" t="s">
        <v>67</v>
      </c>
      <c r="B33" s="129" t="s">
        <v>369</v>
      </c>
      <c r="C33" s="130">
        <f>D33+G33</f>
        <v>1000</v>
      </c>
      <c r="D33" s="130">
        <f>E33+G33</f>
        <v>1000</v>
      </c>
      <c r="E33" s="130">
        <v>1000</v>
      </c>
      <c r="F33" s="130"/>
      <c r="G33" s="130"/>
      <c r="H33" s="120"/>
    </row>
    <row r="34" spans="1:8" s="127" customFormat="1" ht="25.5" customHeight="1">
      <c r="A34" s="128" t="s">
        <v>69</v>
      </c>
      <c r="B34" s="129" t="s">
        <v>370</v>
      </c>
      <c r="C34" s="130">
        <f>D34+G34</f>
        <v>196552.41999999998</v>
      </c>
      <c r="D34" s="130">
        <f>E34+F34</f>
        <v>91629.42</v>
      </c>
      <c r="E34" s="130">
        <v>91629.42</v>
      </c>
      <c r="F34" s="130"/>
      <c r="G34" s="130">
        <v>104923</v>
      </c>
      <c r="H34" s="120"/>
    </row>
    <row r="35" spans="1:8" s="131" customFormat="1" ht="112.5">
      <c r="A35" s="144" t="s">
        <v>71</v>
      </c>
      <c r="B35" s="145" t="s">
        <v>1118</v>
      </c>
      <c r="C35" s="130">
        <f>C36</f>
        <v>1621724.58</v>
      </c>
      <c r="D35" s="130">
        <f>D36</f>
        <v>1533724.58</v>
      </c>
      <c r="E35" s="130">
        <f>E36</f>
        <v>1475724.58</v>
      </c>
      <c r="F35" s="130">
        <f t="shared" ref="F35:G35" si="2">F36</f>
        <v>58000</v>
      </c>
      <c r="G35" s="130">
        <f t="shared" si="2"/>
        <v>88000</v>
      </c>
      <c r="H35" s="120"/>
    </row>
    <row r="36" spans="1:8" s="127" customFormat="1" ht="95.25" customHeight="1" outlineLevel="1">
      <c r="A36" s="146" t="s">
        <v>19</v>
      </c>
      <c r="B36" s="147" t="s">
        <v>1118</v>
      </c>
      <c r="C36" s="134">
        <f t="shared" ref="C36:C42" si="3">D36+G36</f>
        <v>1621724.58</v>
      </c>
      <c r="D36" s="134">
        <f t="shared" ref="D36:D42" si="4">E36+F36</f>
        <v>1533724.58</v>
      </c>
      <c r="E36" s="134">
        <v>1475724.58</v>
      </c>
      <c r="F36" s="134">
        <f t="shared" ref="F36:G36" si="5">F37+F38+F39+F41</f>
        <v>58000</v>
      </c>
      <c r="G36" s="134">
        <f t="shared" si="5"/>
        <v>88000</v>
      </c>
      <c r="H36" s="120"/>
    </row>
    <row r="37" spans="1:8" s="138" customFormat="1" ht="46.5" customHeight="1">
      <c r="A37" s="148"/>
      <c r="B37" s="149" t="s">
        <v>371</v>
      </c>
      <c r="C37" s="137">
        <f t="shared" si="3"/>
        <v>139747.29999999999</v>
      </c>
      <c r="D37" s="137">
        <f t="shared" si="4"/>
        <v>139747.29999999999</v>
      </c>
      <c r="E37" s="137">
        <v>139747.29999999999</v>
      </c>
      <c r="F37" s="137"/>
      <c r="G37" s="137"/>
      <c r="H37" s="120"/>
    </row>
    <row r="38" spans="1:8" s="138" customFormat="1" ht="101.25" customHeight="1">
      <c r="A38" s="148"/>
      <c r="B38" s="149" t="s">
        <v>372</v>
      </c>
      <c r="C38" s="137">
        <f t="shared" si="3"/>
        <v>155213.20000000001</v>
      </c>
      <c r="D38" s="137">
        <f t="shared" si="4"/>
        <v>155213.20000000001</v>
      </c>
      <c r="E38" s="137">
        <v>97213.200000000012</v>
      </c>
      <c r="F38" s="137">
        <v>58000</v>
      </c>
      <c r="G38" s="137"/>
      <c r="H38" s="120"/>
    </row>
    <row r="39" spans="1:8" s="138" customFormat="1" ht="46.5" customHeight="1">
      <c r="A39" s="148"/>
      <c r="B39" s="150" t="s">
        <v>373</v>
      </c>
      <c r="C39" s="137">
        <f t="shared" si="3"/>
        <v>22122.06</v>
      </c>
      <c r="D39" s="137">
        <f t="shared" si="4"/>
        <v>22122.06</v>
      </c>
      <c r="E39" s="137">
        <v>22122.06</v>
      </c>
      <c r="F39" s="137"/>
      <c r="G39" s="137"/>
      <c r="H39" s="120"/>
    </row>
    <row r="40" spans="1:8" s="138" customFormat="1" ht="46.5" customHeight="1">
      <c r="A40" s="148"/>
      <c r="B40" s="150" t="s">
        <v>1117</v>
      </c>
      <c r="C40" s="137"/>
      <c r="D40" s="137"/>
      <c r="E40" s="137">
        <v>10000</v>
      </c>
      <c r="F40" s="137"/>
      <c r="G40" s="137"/>
      <c r="H40" s="120"/>
    </row>
    <row r="41" spans="1:8" s="138" customFormat="1" ht="46.5" customHeight="1">
      <c r="A41" s="148"/>
      <c r="B41" s="150" t="s">
        <v>374</v>
      </c>
      <c r="C41" s="137">
        <f t="shared" si="3"/>
        <v>1294642.02</v>
      </c>
      <c r="D41" s="137">
        <f t="shared" si="4"/>
        <v>1206642.02</v>
      </c>
      <c r="E41" s="137">
        <v>1206642.02</v>
      </c>
      <c r="F41" s="137"/>
      <c r="G41" s="137">
        <v>88000</v>
      </c>
      <c r="H41" s="120"/>
    </row>
    <row r="42" spans="1:8" s="131" customFormat="1" ht="25.5" customHeight="1">
      <c r="A42" s="128" t="s">
        <v>375</v>
      </c>
      <c r="B42" s="129" t="s">
        <v>376</v>
      </c>
      <c r="C42" s="130">
        <f t="shared" si="3"/>
        <v>7400</v>
      </c>
      <c r="D42" s="130">
        <f t="shared" si="4"/>
        <v>7400</v>
      </c>
      <c r="E42" s="130">
        <v>7400</v>
      </c>
      <c r="F42" s="130"/>
      <c r="G42" s="130"/>
      <c r="H42" s="120"/>
    </row>
    <row r="43" spans="1:8" s="127" customFormat="1" ht="25.5" customHeight="1">
      <c r="A43" s="128" t="s">
        <v>11</v>
      </c>
      <c r="B43" s="151" t="s">
        <v>377</v>
      </c>
      <c r="C43" s="130">
        <f>C44+C48</f>
        <v>1955179</v>
      </c>
      <c r="D43" s="130">
        <f>D44+D48</f>
        <v>1955179</v>
      </c>
      <c r="E43" s="130">
        <f>E44+E48</f>
        <v>1774990</v>
      </c>
      <c r="F43" s="130">
        <f>F44+F48</f>
        <v>180189</v>
      </c>
      <c r="G43" s="130">
        <f>G44+G48</f>
        <v>0</v>
      </c>
      <c r="H43" s="120"/>
    </row>
    <row r="44" spans="1:8" s="127" customFormat="1" ht="25.5" customHeight="1">
      <c r="A44" s="128" t="s">
        <v>15</v>
      </c>
      <c r="B44" s="129" t="s">
        <v>77</v>
      </c>
      <c r="C44" s="130">
        <f>SUM(C45:C47)</f>
        <v>657402</v>
      </c>
      <c r="D44" s="130">
        <f>E44+F44</f>
        <v>657402</v>
      </c>
      <c r="E44" s="1016">
        <f>SUM(E45:E47)</f>
        <v>657402</v>
      </c>
      <c r="F44" s="130">
        <f>SUM(F45:F47)</f>
        <v>0</v>
      </c>
      <c r="G44" s="130"/>
      <c r="H44" s="120"/>
    </row>
    <row r="45" spans="1:8" s="127" customFormat="1" ht="25.5" customHeight="1">
      <c r="A45" s="135"/>
      <c r="B45" s="133" t="s">
        <v>378</v>
      </c>
      <c r="C45" s="134">
        <f>D45+G45</f>
        <v>114887</v>
      </c>
      <c r="D45" s="134">
        <f>E45+F45</f>
        <v>114887</v>
      </c>
      <c r="E45" s="1017">
        <f>'PL17'!D39</f>
        <v>114887</v>
      </c>
      <c r="F45" s="134"/>
      <c r="G45" s="134"/>
      <c r="H45" s="120"/>
    </row>
    <row r="46" spans="1:8" s="127" customFormat="1" ht="25.5" customHeight="1">
      <c r="A46" s="135"/>
      <c r="B46" s="133" t="s">
        <v>379</v>
      </c>
      <c r="C46" s="134">
        <f>D46+G46</f>
        <v>111760</v>
      </c>
      <c r="D46" s="134">
        <f>E46+F46</f>
        <v>111760</v>
      </c>
      <c r="E46" s="1017">
        <f>'PL17'!D42</f>
        <v>111760</v>
      </c>
      <c r="F46" s="134"/>
      <c r="G46" s="134"/>
      <c r="H46" s="120"/>
    </row>
    <row r="47" spans="1:8" s="127" customFormat="1" ht="25.5" customHeight="1">
      <c r="A47" s="135"/>
      <c r="B47" s="133" t="s">
        <v>380</v>
      </c>
      <c r="C47" s="134">
        <f>D47+G47</f>
        <v>430755</v>
      </c>
      <c r="D47" s="134">
        <f>E47+F47</f>
        <v>430755</v>
      </c>
      <c r="E47" s="1017">
        <f>'PL17'!D45</f>
        <v>430755</v>
      </c>
      <c r="F47" s="134"/>
      <c r="G47" s="134"/>
      <c r="H47" s="120"/>
    </row>
    <row r="48" spans="1:8" s="127" customFormat="1" ht="25.5" customHeight="1">
      <c r="A48" s="128" t="s">
        <v>25</v>
      </c>
      <c r="B48" s="129" t="s">
        <v>381</v>
      </c>
      <c r="C48" s="130">
        <f>C49+C52</f>
        <v>1297777</v>
      </c>
      <c r="D48" s="130">
        <f>D49+D52</f>
        <v>1297777</v>
      </c>
      <c r="E48" s="130">
        <f>E49+E52</f>
        <v>1117588</v>
      </c>
      <c r="F48" s="130">
        <f>F49+F52</f>
        <v>180189</v>
      </c>
      <c r="G48" s="130">
        <f>G49+G52</f>
        <v>0</v>
      </c>
      <c r="H48" s="120"/>
    </row>
    <row r="49" spans="1:8" s="127" customFormat="1" ht="25.5" customHeight="1">
      <c r="A49" s="128" t="s">
        <v>382</v>
      </c>
      <c r="B49" s="129" t="s">
        <v>78</v>
      </c>
      <c r="C49" s="130">
        <f>C50+C51</f>
        <v>824064</v>
      </c>
      <c r="D49" s="130">
        <f>D50+D51</f>
        <v>824064</v>
      </c>
      <c r="E49" s="130">
        <f>E50+E51</f>
        <v>824064</v>
      </c>
      <c r="F49" s="130">
        <f>F50+F51</f>
        <v>0</v>
      </c>
      <c r="G49" s="130">
        <f>G50+G51</f>
        <v>0</v>
      </c>
      <c r="H49" s="120"/>
    </row>
    <row r="50" spans="1:8" s="127" customFormat="1" ht="25.5" customHeight="1">
      <c r="A50" s="132">
        <v>1</v>
      </c>
      <c r="B50" s="133" t="s">
        <v>383</v>
      </c>
      <c r="C50" s="134">
        <f>D50+G50</f>
        <v>0</v>
      </c>
      <c r="D50" s="134">
        <f>E50+F50</f>
        <v>0</v>
      </c>
      <c r="E50" s="134">
        <v>0</v>
      </c>
      <c r="F50" s="134"/>
      <c r="G50" s="134"/>
      <c r="H50" s="120"/>
    </row>
    <row r="51" spans="1:8" s="127" customFormat="1" ht="25.5" customHeight="1">
      <c r="A51" s="132">
        <v>2</v>
      </c>
      <c r="B51" s="133" t="s">
        <v>384</v>
      </c>
      <c r="C51" s="134">
        <f>D51+G51</f>
        <v>824064</v>
      </c>
      <c r="D51" s="134">
        <f>E51+F51</f>
        <v>824064</v>
      </c>
      <c r="E51" s="134">
        <v>824064</v>
      </c>
      <c r="F51" s="134"/>
      <c r="G51" s="134"/>
      <c r="H51" s="120"/>
    </row>
    <row r="52" spans="1:8" s="131" customFormat="1" ht="37.5">
      <c r="A52" s="128" t="s">
        <v>385</v>
      </c>
      <c r="B52" s="152" t="s">
        <v>79</v>
      </c>
      <c r="C52" s="130">
        <f>C53+C54</f>
        <v>473713</v>
      </c>
      <c r="D52" s="130">
        <f>D53+D54</f>
        <v>473713</v>
      </c>
      <c r="E52" s="130">
        <f>E53+E54</f>
        <v>293524</v>
      </c>
      <c r="F52" s="130">
        <f>F53+F54</f>
        <v>180189</v>
      </c>
      <c r="G52" s="130">
        <f>G53+G54</f>
        <v>0</v>
      </c>
      <c r="H52" s="120"/>
    </row>
    <row r="53" spans="1:8" s="127" customFormat="1" ht="25.5" customHeight="1">
      <c r="A53" s="153">
        <v>1</v>
      </c>
      <c r="B53" s="154" t="s">
        <v>386</v>
      </c>
      <c r="C53" s="134">
        <f>D53+G53</f>
        <v>0</v>
      </c>
      <c r="D53" s="130"/>
      <c r="E53" s="134"/>
      <c r="F53" s="134"/>
      <c r="G53" s="134"/>
      <c r="H53" s="120"/>
    </row>
    <row r="54" spans="1:8" s="127" customFormat="1" ht="25.5" customHeight="1">
      <c r="A54" s="153">
        <v>2</v>
      </c>
      <c r="B54" s="154" t="s">
        <v>384</v>
      </c>
      <c r="C54" s="130">
        <f>C55+C75+C79+C80+C83+C96+C97+C98+C103+C129+C131</f>
        <v>473713</v>
      </c>
      <c r="D54" s="130">
        <f t="shared" ref="D54:F54" si="6">D55+D75+D79+D80+D83+D96+D97+D98+D103+D129+D131</f>
        <v>473713</v>
      </c>
      <c r="E54" s="130">
        <f t="shared" si="6"/>
        <v>293524</v>
      </c>
      <c r="F54" s="130">
        <f t="shared" si="6"/>
        <v>180189</v>
      </c>
      <c r="G54" s="134"/>
      <c r="H54" s="120"/>
    </row>
    <row r="55" spans="1:8" s="127" customFormat="1" ht="18.75">
      <c r="A55" s="155" t="s">
        <v>143</v>
      </c>
      <c r="B55" s="143" t="s">
        <v>387</v>
      </c>
      <c r="C55" s="134">
        <f>C56+C74</f>
        <v>4877</v>
      </c>
      <c r="D55" s="134">
        <f>D56+D74</f>
        <v>4877</v>
      </c>
      <c r="E55" s="134">
        <f>E56+E74</f>
        <v>3219</v>
      </c>
      <c r="F55" s="134">
        <f>F56+F74</f>
        <v>1658</v>
      </c>
      <c r="G55" s="134"/>
      <c r="H55" s="120"/>
    </row>
    <row r="56" spans="1:8" s="127" customFormat="1" ht="18.75">
      <c r="A56" s="155" t="s">
        <v>388</v>
      </c>
      <c r="B56" s="156" t="s">
        <v>389</v>
      </c>
      <c r="C56" s="134">
        <f>SUM(C57:C73)</f>
        <v>3219</v>
      </c>
      <c r="D56" s="134">
        <f t="shared" ref="D56:E56" si="7">SUM(D57:D73)</f>
        <v>3219</v>
      </c>
      <c r="E56" s="134">
        <f t="shared" si="7"/>
        <v>3219</v>
      </c>
      <c r="F56" s="134">
        <f>SUM(F57:F69)</f>
        <v>0</v>
      </c>
      <c r="G56" s="134"/>
      <c r="H56" s="120"/>
    </row>
    <row r="57" spans="1:8" s="127" customFormat="1" ht="18.75">
      <c r="A57" s="155" t="s">
        <v>19</v>
      </c>
      <c r="B57" s="156" t="s">
        <v>390</v>
      </c>
      <c r="C57" s="134">
        <f>D57+G57</f>
        <v>1609</v>
      </c>
      <c r="D57" s="134">
        <f>E57+F57</f>
        <v>1609</v>
      </c>
      <c r="E57" s="134">
        <v>1609</v>
      </c>
      <c r="F57" s="134"/>
      <c r="G57" s="134"/>
      <c r="H57" s="120"/>
    </row>
    <row r="58" spans="1:8" s="127" customFormat="1" ht="18.75">
      <c r="A58" s="155" t="s">
        <v>19</v>
      </c>
      <c r="B58" s="156" t="s">
        <v>391</v>
      </c>
      <c r="C58" s="134">
        <f t="shared" ref="C58:C74" si="8">D58+G58</f>
        <v>800</v>
      </c>
      <c r="D58" s="134">
        <f t="shared" ref="D58:D74" si="9">E58+F58</f>
        <v>800</v>
      </c>
      <c r="E58" s="134">
        <v>800</v>
      </c>
      <c r="F58" s="134"/>
      <c r="G58" s="134"/>
      <c r="H58" s="120"/>
    </row>
    <row r="59" spans="1:8" s="127" customFormat="1" ht="18.75">
      <c r="A59" s="155" t="s">
        <v>19</v>
      </c>
      <c r="B59" s="156" t="s">
        <v>268</v>
      </c>
      <c r="C59" s="134">
        <f t="shared" si="8"/>
        <v>50</v>
      </c>
      <c r="D59" s="134">
        <f t="shared" si="9"/>
        <v>50</v>
      </c>
      <c r="E59" s="134">
        <v>50</v>
      </c>
      <c r="F59" s="134"/>
      <c r="G59" s="130"/>
      <c r="H59" s="120"/>
    </row>
    <row r="60" spans="1:8" s="127" customFormat="1" ht="18.75">
      <c r="A60" s="155" t="s">
        <v>19</v>
      </c>
      <c r="B60" s="156" t="s">
        <v>392</v>
      </c>
      <c r="C60" s="134">
        <f t="shared" si="8"/>
        <v>50</v>
      </c>
      <c r="D60" s="134">
        <f t="shared" si="9"/>
        <v>50</v>
      </c>
      <c r="E60" s="134">
        <v>50</v>
      </c>
      <c r="F60" s="134"/>
      <c r="G60" s="130"/>
      <c r="H60" s="120"/>
    </row>
    <row r="61" spans="1:8" s="127" customFormat="1" ht="18.75">
      <c r="A61" s="155" t="s">
        <v>19</v>
      </c>
      <c r="B61" s="156" t="s">
        <v>393</v>
      </c>
      <c r="C61" s="134">
        <f t="shared" si="8"/>
        <v>50</v>
      </c>
      <c r="D61" s="134">
        <f t="shared" si="9"/>
        <v>50</v>
      </c>
      <c r="E61" s="134">
        <v>50</v>
      </c>
      <c r="F61" s="134"/>
      <c r="G61" s="130"/>
      <c r="H61" s="120"/>
    </row>
    <row r="62" spans="1:8" s="127" customFormat="1" ht="18.75">
      <c r="A62" s="155" t="s">
        <v>19</v>
      </c>
      <c r="B62" s="156" t="s">
        <v>394</v>
      </c>
      <c r="C62" s="134">
        <f t="shared" si="8"/>
        <v>50</v>
      </c>
      <c r="D62" s="134">
        <f t="shared" si="9"/>
        <v>50</v>
      </c>
      <c r="E62" s="134">
        <v>50</v>
      </c>
      <c r="F62" s="134"/>
      <c r="G62" s="130"/>
      <c r="H62" s="120"/>
    </row>
    <row r="63" spans="1:8" s="127" customFormat="1" ht="18.75">
      <c r="A63" s="155" t="s">
        <v>19</v>
      </c>
      <c r="B63" s="156" t="s">
        <v>395</v>
      </c>
      <c r="C63" s="134">
        <f t="shared" si="8"/>
        <v>120</v>
      </c>
      <c r="D63" s="134">
        <f t="shared" si="9"/>
        <v>120</v>
      </c>
      <c r="E63" s="134">
        <v>120</v>
      </c>
      <c r="F63" s="134"/>
      <c r="G63" s="130"/>
      <c r="H63" s="120"/>
    </row>
    <row r="64" spans="1:8" s="127" customFormat="1" ht="27" customHeight="1">
      <c r="A64" s="155" t="s">
        <v>19</v>
      </c>
      <c r="B64" s="156" t="s">
        <v>396</v>
      </c>
      <c r="C64" s="134">
        <f t="shared" si="8"/>
        <v>50</v>
      </c>
      <c r="D64" s="134">
        <f t="shared" si="9"/>
        <v>50</v>
      </c>
      <c r="E64" s="134">
        <v>50</v>
      </c>
      <c r="F64" s="134"/>
      <c r="G64" s="130"/>
      <c r="H64" s="120"/>
    </row>
    <row r="65" spans="1:8" s="127" customFormat="1" ht="18.75">
      <c r="A65" s="155" t="s">
        <v>19</v>
      </c>
      <c r="B65" s="156" t="s">
        <v>397</v>
      </c>
      <c r="C65" s="134">
        <f t="shared" si="8"/>
        <v>50</v>
      </c>
      <c r="D65" s="134">
        <f t="shared" si="9"/>
        <v>50</v>
      </c>
      <c r="E65" s="134">
        <v>50</v>
      </c>
      <c r="F65" s="134"/>
      <c r="G65" s="130"/>
      <c r="H65" s="120"/>
    </row>
    <row r="66" spans="1:8" s="127" customFormat="1" ht="18.75">
      <c r="A66" s="155" t="s">
        <v>19</v>
      </c>
      <c r="B66" s="156" t="s">
        <v>398</v>
      </c>
      <c r="C66" s="134">
        <f t="shared" si="8"/>
        <v>40</v>
      </c>
      <c r="D66" s="134">
        <f t="shared" si="9"/>
        <v>40</v>
      </c>
      <c r="E66" s="134">
        <v>40</v>
      </c>
      <c r="F66" s="134"/>
      <c r="G66" s="130"/>
      <c r="H66" s="120"/>
    </row>
    <row r="67" spans="1:8" s="127" customFormat="1" ht="18.75">
      <c r="A67" s="155" t="s">
        <v>19</v>
      </c>
      <c r="B67" s="156" t="s">
        <v>399</v>
      </c>
      <c r="C67" s="134">
        <f t="shared" si="8"/>
        <v>50</v>
      </c>
      <c r="D67" s="134">
        <f t="shared" si="9"/>
        <v>50</v>
      </c>
      <c r="E67" s="134">
        <v>50</v>
      </c>
      <c r="F67" s="134"/>
      <c r="G67" s="130"/>
      <c r="H67" s="120"/>
    </row>
    <row r="68" spans="1:8" s="127" customFormat="1" ht="18.75">
      <c r="A68" s="155" t="s">
        <v>19</v>
      </c>
      <c r="B68" s="156" t="s">
        <v>400</v>
      </c>
      <c r="C68" s="134">
        <f t="shared" si="8"/>
        <v>50</v>
      </c>
      <c r="D68" s="134">
        <f t="shared" si="9"/>
        <v>50</v>
      </c>
      <c r="E68" s="134">
        <v>50</v>
      </c>
      <c r="F68" s="134"/>
      <c r="G68" s="130"/>
      <c r="H68" s="120"/>
    </row>
    <row r="69" spans="1:8" s="127" customFormat="1" ht="18.75">
      <c r="A69" s="155" t="s">
        <v>19</v>
      </c>
      <c r="B69" s="156" t="s">
        <v>401</v>
      </c>
      <c r="C69" s="134">
        <f t="shared" si="8"/>
        <v>50</v>
      </c>
      <c r="D69" s="134">
        <f t="shared" si="9"/>
        <v>50</v>
      </c>
      <c r="E69" s="134">
        <v>50</v>
      </c>
      <c r="F69" s="134"/>
      <c r="G69" s="130"/>
      <c r="H69" s="120"/>
    </row>
    <row r="70" spans="1:8" s="127" customFormat="1" ht="18.75">
      <c r="A70" s="155" t="s">
        <v>19</v>
      </c>
      <c r="B70" s="156" t="s">
        <v>402</v>
      </c>
      <c r="C70" s="134">
        <f t="shared" si="8"/>
        <v>50</v>
      </c>
      <c r="D70" s="134">
        <f t="shared" si="9"/>
        <v>50</v>
      </c>
      <c r="E70" s="134">
        <v>50</v>
      </c>
      <c r="F70" s="134"/>
      <c r="G70" s="130"/>
      <c r="H70" s="120"/>
    </row>
    <row r="71" spans="1:8" s="127" customFormat="1" ht="18.75">
      <c r="A71" s="155" t="s">
        <v>19</v>
      </c>
      <c r="B71" s="156" t="s">
        <v>403</v>
      </c>
      <c r="C71" s="134">
        <f t="shared" si="8"/>
        <v>50</v>
      </c>
      <c r="D71" s="134">
        <f t="shared" si="9"/>
        <v>50</v>
      </c>
      <c r="E71" s="134">
        <v>50</v>
      </c>
      <c r="F71" s="134"/>
      <c r="G71" s="130"/>
      <c r="H71" s="120"/>
    </row>
    <row r="72" spans="1:8" s="127" customFormat="1" ht="18.75">
      <c r="A72" s="155" t="s">
        <v>19</v>
      </c>
      <c r="B72" s="156" t="s">
        <v>404</v>
      </c>
      <c r="C72" s="134">
        <f t="shared" si="8"/>
        <v>50</v>
      </c>
      <c r="D72" s="134">
        <f t="shared" si="9"/>
        <v>50</v>
      </c>
      <c r="E72" s="134">
        <v>50</v>
      </c>
      <c r="F72" s="134"/>
      <c r="G72" s="130"/>
      <c r="H72" s="120"/>
    </row>
    <row r="73" spans="1:8" s="127" customFormat="1" ht="18.75">
      <c r="A73" s="155" t="s">
        <v>19</v>
      </c>
      <c r="B73" s="156" t="s">
        <v>405</v>
      </c>
      <c r="C73" s="134">
        <f t="shared" si="8"/>
        <v>50</v>
      </c>
      <c r="D73" s="134">
        <f t="shared" si="9"/>
        <v>50</v>
      </c>
      <c r="E73" s="134">
        <v>50</v>
      </c>
      <c r="F73" s="134"/>
      <c r="G73" s="130"/>
      <c r="H73" s="120"/>
    </row>
    <row r="74" spans="1:8" s="127" customFormat="1" ht="18.75">
      <c r="A74" s="155" t="s">
        <v>406</v>
      </c>
      <c r="B74" s="156" t="s">
        <v>407</v>
      </c>
      <c r="C74" s="134">
        <f t="shared" si="8"/>
        <v>1658</v>
      </c>
      <c r="D74" s="134">
        <f t="shared" si="9"/>
        <v>1658</v>
      </c>
      <c r="E74" s="134"/>
      <c r="F74" s="134">
        <v>1658</v>
      </c>
      <c r="G74" s="130"/>
      <c r="H74" s="120"/>
    </row>
    <row r="75" spans="1:8" s="127" customFormat="1" ht="18.75">
      <c r="A75" s="155" t="s">
        <v>145</v>
      </c>
      <c r="B75" s="156" t="s">
        <v>408</v>
      </c>
      <c r="C75" s="134">
        <f>D75+G75</f>
        <v>58209</v>
      </c>
      <c r="D75" s="134">
        <f>E75+F75</f>
        <v>58209</v>
      </c>
      <c r="E75" s="134">
        <f>E76+E77+E78</f>
        <v>58209</v>
      </c>
      <c r="F75" s="134"/>
      <c r="G75" s="130"/>
      <c r="H75" s="120"/>
    </row>
    <row r="76" spans="1:8" s="127" customFormat="1" ht="37.5">
      <c r="A76" s="155" t="s">
        <v>19</v>
      </c>
      <c r="B76" s="156" t="s">
        <v>409</v>
      </c>
      <c r="C76" s="134">
        <f t="shared" ref="C76:C78" si="10">D76+G76</f>
        <v>9400</v>
      </c>
      <c r="D76" s="134">
        <f t="shared" ref="D76:D78" si="11">E76+F76</f>
        <v>9400</v>
      </c>
      <c r="E76" s="134">
        <v>9400</v>
      </c>
      <c r="F76" s="134"/>
      <c r="G76" s="130"/>
      <c r="H76" s="120"/>
    </row>
    <row r="77" spans="1:8" s="127" customFormat="1" ht="18.75">
      <c r="A77" s="155" t="s">
        <v>19</v>
      </c>
      <c r="B77" s="156" t="s">
        <v>410</v>
      </c>
      <c r="C77" s="134">
        <f t="shared" si="10"/>
        <v>1900</v>
      </c>
      <c r="D77" s="134">
        <f t="shared" si="11"/>
        <v>1900</v>
      </c>
      <c r="E77" s="134">
        <v>1900</v>
      </c>
      <c r="F77" s="134"/>
      <c r="G77" s="130"/>
      <c r="H77" s="120"/>
    </row>
    <row r="78" spans="1:8" s="127" customFormat="1" ht="37.5">
      <c r="A78" s="155" t="s">
        <v>19</v>
      </c>
      <c r="B78" s="156" t="s">
        <v>411</v>
      </c>
      <c r="C78" s="134">
        <f t="shared" si="10"/>
        <v>46909</v>
      </c>
      <c r="D78" s="134">
        <f t="shared" si="11"/>
        <v>46909</v>
      </c>
      <c r="E78" s="134">
        <v>46909</v>
      </c>
      <c r="F78" s="134"/>
      <c r="G78" s="130"/>
      <c r="H78" s="120"/>
    </row>
    <row r="79" spans="1:8" s="127" customFormat="1" ht="60.75" customHeight="1">
      <c r="A79" s="155" t="s">
        <v>147</v>
      </c>
      <c r="B79" s="157" t="s">
        <v>412</v>
      </c>
      <c r="C79" s="134">
        <f>D79+G79</f>
        <v>280</v>
      </c>
      <c r="D79" s="134">
        <f>E79+F79</f>
        <v>280</v>
      </c>
      <c r="E79" s="134">
        <v>280</v>
      </c>
      <c r="F79" s="134"/>
      <c r="G79" s="134"/>
      <c r="H79" s="120"/>
    </row>
    <row r="80" spans="1:8" s="127" customFormat="1" ht="18.75">
      <c r="A80" s="155" t="s">
        <v>149</v>
      </c>
      <c r="B80" s="157" t="s">
        <v>413</v>
      </c>
      <c r="C80" s="134">
        <f>SUM(C81:C82)</f>
        <v>940</v>
      </c>
      <c r="D80" s="134">
        <f>SUM(D81:D82)</f>
        <v>940</v>
      </c>
      <c r="E80" s="134">
        <f>SUM(E81:E82)</f>
        <v>940</v>
      </c>
      <c r="F80" s="134">
        <f>SUM(F81:F82)</f>
        <v>0</v>
      </c>
      <c r="G80" s="134">
        <f>SUM(G81:G82)</f>
        <v>0</v>
      </c>
      <c r="H80" s="120"/>
    </row>
    <row r="81" spans="1:8" s="127" customFormat="1" ht="18.75">
      <c r="A81" s="155" t="s">
        <v>19</v>
      </c>
      <c r="B81" s="158" t="s">
        <v>414</v>
      </c>
      <c r="C81" s="134">
        <f>D81+G81</f>
        <v>370</v>
      </c>
      <c r="D81" s="134">
        <f>E81+F81</f>
        <v>370</v>
      </c>
      <c r="E81" s="134">
        <v>370</v>
      </c>
      <c r="F81" s="134"/>
      <c r="G81" s="134"/>
      <c r="H81" s="120"/>
    </row>
    <row r="82" spans="1:8" s="127" customFormat="1" ht="18.75">
      <c r="A82" s="155" t="s">
        <v>19</v>
      </c>
      <c r="B82" s="158" t="s">
        <v>415</v>
      </c>
      <c r="C82" s="134">
        <f>D82+G82</f>
        <v>570</v>
      </c>
      <c r="D82" s="134">
        <f>E82+F82</f>
        <v>570</v>
      </c>
      <c r="E82" s="134">
        <v>570</v>
      </c>
      <c r="F82" s="134"/>
      <c r="G82" s="134"/>
      <c r="H82" s="120"/>
    </row>
    <row r="83" spans="1:8" s="127" customFormat="1" ht="18.75">
      <c r="A83" s="155" t="s">
        <v>151</v>
      </c>
      <c r="B83" s="159" t="s">
        <v>416</v>
      </c>
      <c r="C83" s="134">
        <f>C84+C95</f>
        <v>26700</v>
      </c>
      <c r="D83" s="134">
        <f t="shared" ref="D83:F83" si="12">D84+D95</f>
        <v>26700</v>
      </c>
      <c r="E83" s="134">
        <f t="shared" si="12"/>
        <v>22426</v>
      </c>
      <c r="F83" s="134">
        <f t="shared" si="12"/>
        <v>4274</v>
      </c>
      <c r="G83" s="134">
        <f>SUM(G84:G95)</f>
        <v>0</v>
      </c>
      <c r="H83" s="120"/>
    </row>
    <row r="84" spans="1:8" s="127" customFormat="1" ht="18.75">
      <c r="A84" s="160" t="s">
        <v>388</v>
      </c>
      <c r="B84" s="159" t="s">
        <v>389</v>
      </c>
      <c r="C84" s="134">
        <f t="shared" ref="C84:C95" si="13">D84+G84</f>
        <v>22426</v>
      </c>
      <c r="D84" s="134">
        <f t="shared" ref="D84:D95" si="14">E84+F84</f>
        <v>22426</v>
      </c>
      <c r="E84" s="134">
        <f>SUM(E85:E94)</f>
        <v>22426</v>
      </c>
      <c r="F84" s="134"/>
      <c r="G84" s="134"/>
      <c r="H84" s="120"/>
    </row>
    <row r="85" spans="1:8" s="127" customFormat="1" ht="18.75">
      <c r="A85" s="160" t="s">
        <v>19</v>
      </c>
      <c r="B85" s="159" t="s">
        <v>417</v>
      </c>
      <c r="C85" s="134">
        <f t="shared" si="13"/>
        <v>300</v>
      </c>
      <c r="D85" s="134">
        <f t="shared" si="14"/>
        <v>300</v>
      </c>
      <c r="E85" s="134">
        <v>300</v>
      </c>
      <c r="F85" s="134"/>
      <c r="G85" s="134"/>
      <c r="H85" s="120"/>
    </row>
    <row r="86" spans="1:8" s="127" customFormat="1" ht="18.75">
      <c r="A86" s="160" t="s">
        <v>19</v>
      </c>
      <c r="B86" s="159" t="s">
        <v>144</v>
      </c>
      <c r="C86" s="134">
        <f t="shared" si="13"/>
        <v>4698</v>
      </c>
      <c r="D86" s="134">
        <f t="shared" si="14"/>
        <v>4698</v>
      </c>
      <c r="E86" s="134">
        <v>4698</v>
      </c>
      <c r="F86" s="134"/>
      <c r="G86" s="134"/>
      <c r="H86" s="120"/>
    </row>
    <row r="87" spans="1:8" s="127" customFormat="1" ht="18.75">
      <c r="A87" s="160" t="s">
        <v>19</v>
      </c>
      <c r="B87" s="159" t="s">
        <v>418</v>
      </c>
      <c r="C87" s="134">
        <f t="shared" si="13"/>
        <v>1900</v>
      </c>
      <c r="D87" s="134">
        <f t="shared" si="14"/>
        <v>1900</v>
      </c>
      <c r="E87" s="134">
        <v>1900</v>
      </c>
      <c r="F87" s="134"/>
      <c r="G87" s="134"/>
      <c r="H87" s="120"/>
    </row>
    <row r="88" spans="1:8" s="127" customFormat="1" ht="18.75">
      <c r="A88" s="160" t="s">
        <v>19</v>
      </c>
      <c r="B88" s="159" t="s">
        <v>419</v>
      </c>
      <c r="C88" s="134">
        <f t="shared" si="13"/>
        <v>749</v>
      </c>
      <c r="D88" s="134">
        <f t="shared" si="14"/>
        <v>749</v>
      </c>
      <c r="E88" s="134">
        <v>749</v>
      </c>
      <c r="F88" s="134"/>
      <c r="G88" s="134"/>
      <c r="H88" s="120"/>
    </row>
    <row r="89" spans="1:8" s="127" customFormat="1" ht="18.75">
      <c r="A89" s="160" t="s">
        <v>19</v>
      </c>
      <c r="B89" s="159" t="s">
        <v>420</v>
      </c>
      <c r="C89" s="134">
        <f t="shared" si="13"/>
        <v>0</v>
      </c>
      <c r="D89" s="134">
        <f t="shared" si="14"/>
        <v>0</v>
      </c>
      <c r="E89" s="134">
        <v>0</v>
      </c>
      <c r="F89" s="134"/>
      <c r="G89" s="134"/>
      <c r="H89" s="120"/>
    </row>
    <row r="90" spans="1:8" s="127" customFormat="1" ht="18.75">
      <c r="A90" s="160" t="s">
        <v>19</v>
      </c>
      <c r="B90" s="159" t="s">
        <v>421</v>
      </c>
      <c r="C90" s="134">
        <f t="shared" si="13"/>
        <v>5278</v>
      </c>
      <c r="D90" s="134">
        <f t="shared" si="14"/>
        <v>5278</v>
      </c>
      <c r="E90" s="134">
        <v>5278</v>
      </c>
      <c r="F90" s="134"/>
      <c r="G90" s="134"/>
      <c r="H90" s="120"/>
    </row>
    <row r="91" spans="1:8" s="127" customFormat="1" ht="18.75">
      <c r="A91" s="160" t="s">
        <v>19</v>
      </c>
      <c r="B91" s="159" t="s">
        <v>422</v>
      </c>
      <c r="C91" s="134">
        <f t="shared" si="13"/>
        <v>814</v>
      </c>
      <c r="D91" s="134">
        <f t="shared" si="14"/>
        <v>814</v>
      </c>
      <c r="E91" s="134">
        <v>814</v>
      </c>
      <c r="F91" s="134"/>
      <c r="G91" s="134"/>
      <c r="H91" s="120"/>
    </row>
    <row r="92" spans="1:8" s="127" customFormat="1" ht="18.75">
      <c r="A92" s="160" t="s">
        <v>19</v>
      </c>
      <c r="B92" s="159" t="s">
        <v>423</v>
      </c>
      <c r="C92" s="134">
        <f t="shared" si="13"/>
        <v>3934</v>
      </c>
      <c r="D92" s="134">
        <f t="shared" si="14"/>
        <v>3934</v>
      </c>
      <c r="E92" s="134">
        <v>3934</v>
      </c>
      <c r="F92" s="134"/>
      <c r="G92" s="134"/>
      <c r="H92" s="120"/>
    </row>
    <row r="93" spans="1:8" s="127" customFormat="1" ht="18.75">
      <c r="A93" s="160" t="s">
        <v>19</v>
      </c>
      <c r="B93" s="159" t="s">
        <v>424</v>
      </c>
      <c r="C93" s="134">
        <f t="shared" si="13"/>
        <v>4146</v>
      </c>
      <c r="D93" s="134">
        <f t="shared" si="14"/>
        <v>4146</v>
      </c>
      <c r="E93" s="134">
        <v>4146</v>
      </c>
      <c r="F93" s="134"/>
      <c r="G93" s="134"/>
      <c r="H93" s="120"/>
    </row>
    <row r="94" spans="1:8" s="127" customFormat="1" ht="18.75">
      <c r="A94" s="160" t="s">
        <v>19</v>
      </c>
      <c r="B94" s="159" t="s">
        <v>425</v>
      </c>
      <c r="C94" s="134">
        <f t="shared" si="13"/>
        <v>607</v>
      </c>
      <c r="D94" s="134">
        <f t="shared" si="14"/>
        <v>607</v>
      </c>
      <c r="E94" s="134">
        <v>607</v>
      </c>
      <c r="F94" s="134"/>
      <c r="G94" s="134"/>
      <c r="H94" s="120"/>
    </row>
    <row r="95" spans="1:8" s="127" customFormat="1" ht="18.75">
      <c r="A95" s="160" t="s">
        <v>406</v>
      </c>
      <c r="B95" s="159" t="s">
        <v>407</v>
      </c>
      <c r="C95" s="134">
        <f t="shared" si="13"/>
        <v>4274</v>
      </c>
      <c r="D95" s="134">
        <f t="shared" si="14"/>
        <v>4274</v>
      </c>
      <c r="E95" s="134"/>
      <c r="F95" s="134">
        <v>4274</v>
      </c>
      <c r="G95" s="134"/>
      <c r="H95" s="120"/>
    </row>
    <row r="96" spans="1:8" s="127" customFormat="1" ht="18.75">
      <c r="A96" s="155" t="s">
        <v>153</v>
      </c>
      <c r="B96" s="159" t="s">
        <v>426</v>
      </c>
      <c r="C96" s="134">
        <f t="shared" ref="C96:C97" si="15">D96+G96</f>
        <v>433</v>
      </c>
      <c r="D96" s="134">
        <f t="shared" ref="D96:D97" si="16">E96+F96</f>
        <v>433</v>
      </c>
      <c r="E96" s="134">
        <v>433</v>
      </c>
      <c r="F96" s="134"/>
      <c r="G96" s="134"/>
      <c r="H96" s="120"/>
    </row>
    <row r="97" spans="1:8" s="127" customFormat="1" ht="18.75">
      <c r="A97" s="160" t="s">
        <v>155</v>
      </c>
      <c r="B97" s="159" t="s">
        <v>427</v>
      </c>
      <c r="C97" s="134">
        <f t="shared" si="15"/>
        <v>160</v>
      </c>
      <c r="D97" s="134">
        <f t="shared" si="16"/>
        <v>160</v>
      </c>
      <c r="E97" s="134">
        <v>160</v>
      </c>
      <c r="F97" s="134"/>
      <c r="G97" s="134"/>
      <c r="H97" s="120"/>
    </row>
    <row r="98" spans="1:8" s="127" customFormat="1" ht="18.75">
      <c r="A98" s="160" t="s">
        <v>157</v>
      </c>
      <c r="B98" s="159" t="s">
        <v>428</v>
      </c>
      <c r="C98" s="134">
        <f>C99+C102</f>
        <v>66375</v>
      </c>
      <c r="D98" s="134">
        <f t="shared" ref="D98:F98" si="17">D99+D102</f>
        <v>66375</v>
      </c>
      <c r="E98" s="134">
        <f t="shared" si="17"/>
        <v>580</v>
      </c>
      <c r="F98" s="134">
        <f t="shared" si="17"/>
        <v>65795</v>
      </c>
      <c r="G98" s="134">
        <f>SUM(G99:G101)</f>
        <v>0</v>
      </c>
      <c r="H98" s="120"/>
    </row>
    <row r="99" spans="1:8" s="127" customFormat="1" ht="18.75">
      <c r="A99" s="160" t="s">
        <v>388</v>
      </c>
      <c r="B99" s="159" t="s">
        <v>389</v>
      </c>
      <c r="C99" s="134">
        <f>D99+G99</f>
        <v>580</v>
      </c>
      <c r="D99" s="134">
        <f>E99+F99</f>
        <v>580</v>
      </c>
      <c r="E99" s="134">
        <f>E100+E101</f>
        <v>580</v>
      </c>
      <c r="F99" s="134"/>
      <c r="G99" s="134"/>
      <c r="H99" s="120"/>
    </row>
    <row r="100" spans="1:8" s="127" customFormat="1" ht="18.75">
      <c r="A100" s="160" t="s">
        <v>19</v>
      </c>
      <c r="B100" s="159" t="s">
        <v>429</v>
      </c>
      <c r="C100" s="134">
        <f>D100+G100</f>
        <v>246</v>
      </c>
      <c r="D100" s="134">
        <f>E100+F100</f>
        <v>246</v>
      </c>
      <c r="E100" s="134">
        <v>246</v>
      </c>
      <c r="F100" s="134"/>
      <c r="G100" s="134"/>
      <c r="H100" s="120"/>
    </row>
    <row r="101" spans="1:8" s="127" customFormat="1" ht="18.75">
      <c r="A101" s="160" t="s">
        <v>19</v>
      </c>
      <c r="B101" s="159" t="s">
        <v>430</v>
      </c>
      <c r="C101" s="134">
        <f>D101+G101</f>
        <v>334</v>
      </c>
      <c r="D101" s="134">
        <f>E101+F101</f>
        <v>334</v>
      </c>
      <c r="E101" s="134">
        <v>334</v>
      </c>
      <c r="F101" s="134"/>
      <c r="G101" s="134"/>
      <c r="H101" s="120"/>
    </row>
    <row r="102" spans="1:8" s="127" customFormat="1" ht="18.75">
      <c r="A102" s="160" t="s">
        <v>406</v>
      </c>
      <c r="B102" s="159" t="s">
        <v>407</v>
      </c>
      <c r="C102" s="134">
        <f>D102+G102</f>
        <v>65795</v>
      </c>
      <c r="D102" s="134">
        <f>E102+F102</f>
        <v>65795</v>
      </c>
      <c r="E102" s="134">
        <v>0</v>
      </c>
      <c r="F102" s="134">
        <v>65795</v>
      </c>
      <c r="G102" s="134"/>
      <c r="H102" s="120"/>
    </row>
    <row r="103" spans="1:8" s="127" customFormat="1" ht="18.75">
      <c r="A103" s="160" t="s">
        <v>159</v>
      </c>
      <c r="B103" s="159" t="s">
        <v>431</v>
      </c>
      <c r="C103" s="134">
        <f t="shared" ref="C103:C132" si="18">D103+G103</f>
        <v>301248</v>
      </c>
      <c r="D103" s="134">
        <f t="shared" ref="D103:D132" si="19">E103+F103</f>
        <v>301248</v>
      </c>
      <c r="E103" s="134">
        <v>201277</v>
      </c>
      <c r="F103" s="134">
        <v>99971</v>
      </c>
      <c r="G103" s="134"/>
      <c r="H103" s="120"/>
    </row>
    <row r="104" spans="1:8" s="127" customFormat="1" ht="18.75">
      <c r="A104" s="161" t="s">
        <v>388</v>
      </c>
      <c r="B104" s="162" t="s">
        <v>389</v>
      </c>
      <c r="C104" s="134">
        <f t="shared" si="18"/>
        <v>201277</v>
      </c>
      <c r="D104" s="134">
        <f t="shared" si="19"/>
        <v>201277</v>
      </c>
      <c r="E104" s="134">
        <v>201277</v>
      </c>
      <c r="F104" s="134">
        <v>0</v>
      </c>
      <c r="G104" s="134">
        <f>G105+G109+G111</f>
        <v>0</v>
      </c>
      <c r="H104" s="120"/>
    </row>
    <row r="105" spans="1:8" s="127" customFormat="1" ht="18.75">
      <c r="A105" s="161" t="s">
        <v>19</v>
      </c>
      <c r="B105" s="162" t="s">
        <v>268</v>
      </c>
      <c r="C105" s="134">
        <f t="shared" si="18"/>
        <v>29978</v>
      </c>
      <c r="D105" s="134">
        <f t="shared" si="19"/>
        <v>29978</v>
      </c>
      <c r="E105" s="134">
        <v>29978</v>
      </c>
      <c r="F105" s="134">
        <v>0</v>
      </c>
      <c r="G105" s="134"/>
      <c r="H105" s="120"/>
    </row>
    <row r="106" spans="1:8" s="127" customFormat="1" ht="37.5">
      <c r="A106" s="161" t="s">
        <v>432</v>
      </c>
      <c r="B106" s="162" t="s">
        <v>433</v>
      </c>
      <c r="C106" s="134">
        <f t="shared" si="18"/>
        <v>8</v>
      </c>
      <c r="D106" s="134">
        <f t="shared" si="19"/>
        <v>8</v>
      </c>
      <c r="E106" s="134">
        <v>8</v>
      </c>
      <c r="F106" s="134">
        <v>0</v>
      </c>
      <c r="G106" s="134"/>
      <c r="H106" s="120"/>
    </row>
    <row r="107" spans="1:8" s="127" customFormat="1" ht="56.25">
      <c r="A107" s="161" t="s">
        <v>432</v>
      </c>
      <c r="B107" s="162" t="s">
        <v>434</v>
      </c>
      <c r="C107" s="134">
        <f t="shared" si="18"/>
        <v>420</v>
      </c>
      <c r="D107" s="134">
        <f t="shared" si="19"/>
        <v>420</v>
      </c>
      <c r="E107" s="134">
        <v>420</v>
      </c>
      <c r="F107" s="134">
        <v>0</v>
      </c>
      <c r="G107" s="134"/>
      <c r="H107" s="120"/>
    </row>
    <row r="108" spans="1:8" s="127" customFormat="1" ht="37.5">
      <c r="A108" s="161" t="s">
        <v>432</v>
      </c>
      <c r="B108" s="162" t="s">
        <v>435</v>
      </c>
      <c r="C108" s="134">
        <f t="shared" si="18"/>
        <v>28646</v>
      </c>
      <c r="D108" s="134">
        <f t="shared" si="19"/>
        <v>28646</v>
      </c>
      <c r="E108" s="134">
        <v>28646</v>
      </c>
      <c r="F108" s="134">
        <v>0</v>
      </c>
      <c r="G108" s="134"/>
      <c r="H108" s="120"/>
    </row>
    <row r="109" spans="1:8" s="127" customFormat="1" ht="56.25">
      <c r="A109" s="161" t="s">
        <v>432</v>
      </c>
      <c r="B109" s="162" t="s">
        <v>436</v>
      </c>
      <c r="C109" s="134">
        <f t="shared" si="18"/>
        <v>904</v>
      </c>
      <c r="D109" s="134">
        <f t="shared" si="19"/>
        <v>904</v>
      </c>
      <c r="E109" s="134">
        <v>904</v>
      </c>
      <c r="F109" s="134">
        <v>0</v>
      </c>
      <c r="G109" s="134"/>
      <c r="H109" s="120"/>
    </row>
    <row r="110" spans="1:8" s="127" customFormat="1" ht="18.75">
      <c r="A110" s="161" t="s">
        <v>19</v>
      </c>
      <c r="B110" s="162" t="s">
        <v>146</v>
      </c>
      <c r="C110" s="134">
        <f t="shared" si="18"/>
        <v>8604</v>
      </c>
      <c r="D110" s="134">
        <f t="shared" si="19"/>
        <v>8604</v>
      </c>
      <c r="E110" s="134">
        <v>8604</v>
      </c>
      <c r="F110" s="134">
        <v>0</v>
      </c>
      <c r="G110" s="134"/>
      <c r="H110" s="120"/>
    </row>
    <row r="111" spans="1:8" s="127" customFormat="1" ht="56.25">
      <c r="A111" s="161" t="s">
        <v>432</v>
      </c>
      <c r="B111" s="162" t="s">
        <v>437</v>
      </c>
      <c r="C111" s="134">
        <f t="shared" si="18"/>
        <v>1960</v>
      </c>
      <c r="D111" s="134">
        <f t="shared" si="19"/>
        <v>1960</v>
      </c>
      <c r="E111" s="134">
        <v>1960</v>
      </c>
      <c r="F111" s="134">
        <v>0</v>
      </c>
      <c r="G111" s="134"/>
      <c r="H111" s="120"/>
    </row>
    <row r="112" spans="1:8" s="127" customFormat="1" ht="56.25">
      <c r="A112" s="161" t="s">
        <v>432</v>
      </c>
      <c r="B112" s="162" t="s">
        <v>438</v>
      </c>
      <c r="C112" s="134">
        <f t="shared" si="18"/>
        <v>6597</v>
      </c>
      <c r="D112" s="134">
        <f t="shared" si="19"/>
        <v>6597</v>
      </c>
      <c r="E112" s="134">
        <v>6597</v>
      </c>
      <c r="F112" s="134">
        <v>0</v>
      </c>
      <c r="G112" s="134"/>
      <c r="H112" s="120"/>
    </row>
    <row r="113" spans="1:8" s="127" customFormat="1" ht="56.25">
      <c r="A113" s="161" t="s">
        <v>432</v>
      </c>
      <c r="B113" s="162" t="s">
        <v>436</v>
      </c>
      <c r="C113" s="134">
        <f t="shared" si="18"/>
        <v>47</v>
      </c>
      <c r="D113" s="134">
        <f t="shared" si="19"/>
        <v>47</v>
      </c>
      <c r="E113" s="134">
        <v>47</v>
      </c>
      <c r="F113" s="134">
        <v>0</v>
      </c>
      <c r="G113" s="134"/>
      <c r="H113" s="120"/>
    </row>
    <row r="114" spans="1:8" s="127" customFormat="1" ht="18.75">
      <c r="A114" s="161" t="s">
        <v>19</v>
      </c>
      <c r="B114" s="162" t="s">
        <v>439</v>
      </c>
      <c r="C114" s="134">
        <f t="shared" si="18"/>
        <v>3346</v>
      </c>
      <c r="D114" s="134">
        <f t="shared" si="19"/>
        <v>3346</v>
      </c>
      <c r="E114" s="134">
        <v>3346</v>
      </c>
      <c r="F114" s="134">
        <v>0</v>
      </c>
      <c r="G114" s="134"/>
      <c r="H114" s="120"/>
    </row>
    <row r="115" spans="1:8" s="127" customFormat="1" ht="18.75">
      <c r="A115" s="161" t="s">
        <v>432</v>
      </c>
      <c r="B115" s="162" t="s">
        <v>440</v>
      </c>
      <c r="C115" s="134">
        <f t="shared" si="18"/>
        <v>257</v>
      </c>
      <c r="D115" s="134">
        <f t="shared" si="19"/>
        <v>257</v>
      </c>
      <c r="E115" s="134">
        <v>257</v>
      </c>
      <c r="F115" s="134">
        <v>0</v>
      </c>
      <c r="G115" s="134"/>
      <c r="H115" s="120"/>
    </row>
    <row r="116" spans="1:8" s="127" customFormat="1" ht="37.5">
      <c r="A116" s="161" t="s">
        <v>432</v>
      </c>
      <c r="B116" s="162" t="s">
        <v>441</v>
      </c>
      <c r="C116" s="134">
        <f t="shared" si="18"/>
        <v>3089</v>
      </c>
      <c r="D116" s="134">
        <f t="shared" si="19"/>
        <v>3089</v>
      </c>
      <c r="E116" s="134">
        <v>3089</v>
      </c>
      <c r="F116" s="134">
        <v>0</v>
      </c>
      <c r="G116" s="134"/>
      <c r="H116" s="120"/>
    </row>
    <row r="117" spans="1:8" s="127" customFormat="1" ht="18.75">
      <c r="A117" s="161" t="s">
        <v>19</v>
      </c>
      <c r="B117" s="162" t="s">
        <v>442</v>
      </c>
      <c r="C117" s="134">
        <f t="shared" si="18"/>
        <v>155006</v>
      </c>
      <c r="D117" s="134">
        <f t="shared" si="19"/>
        <v>155006</v>
      </c>
      <c r="E117" s="134">
        <v>155006</v>
      </c>
      <c r="F117" s="134">
        <v>0</v>
      </c>
      <c r="G117" s="163"/>
      <c r="H117" s="120"/>
    </row>
    <row r="118" spans="1:8" s="127" customFormat="1" ht="18.75">
      <c r="A118" s="161" t="s">
        <v>432</v>
      </c>
      <c r="B118" s="162" t="s">
        <v>443</v>
      </c>
      <c r="C118" s="134">
        <f t="shared" si="18"/>
        <v>39891</v>
      </c>
      <c r="D118" s="134">
        <f t="shared" si="19"/>
        <v>39891</v>
      </c>
      <c r="E118" s="134">
        <v>39891</v>
      </c>
      <c r="F118" s="134">
        <v>0</v>
      </c>
      <c r="G118" s="163"/>
      <c r="H118" s="120"/>
    </row>
    <row r="119" spans="1:8" s="127" customFormat="1" ht="37.5">
      <c r="A119" s="161" t="s">
        <v>432</v>
      </c>
      <c r="B119" s="162" t="s">
        <v>444</v>
      </c>
      <c r="C119" s="134">
        <f t="shared" si="18"/>
        <v>46073</v>
      </c>
      <c r="D119" s="134">
        <f t="shared" si="19"/>
        <v>46073</v>
      </c>
      <c r="E119" s="134">
        <v>46073</v>
      </c>
      <c r="F119" s="134">
        <v>0</v>
      </c>
      <c r="G119" s="163"/>
      <c r="H119" s="120"/>
    </row>
    <row r="120" spans="1:8" s="127" customFormat="1" ht="18.75">
      <c r="A120" s="161" t="s">
        <v>432</v>
      </c>
      <c r="B120" s="162" t="s">
        <v>445</v>
      </c>
      <c r="C120" s="134">
        <f t="shared" si="18"/>
        <v>5</v>
      </c>
      <c r="D120" s="134">
        <f t="shared" si="19"/>
        <v>5</v>
      </c>
      <c r="E120" s="134">
        <v>5</v>
      </c>
      <c r="F120" s="134">
        <v>0</v>
      </c>
      <c r="G120" s="163"/>
      <c r="H120" s="120"/>
    </row>
    <row r="121" spans="1:8" s="127" customFormat="1" ht="18.75">
      <c r="A121" s="161" t="s">
        <v>432</v>
      </c>
      <c r="B121" s="162" t="s">
        <v>446</v>
      </c>
      <c r="C121" s="134">
        <f t="shared" si="18"/>
        <v>5849</v>
      </c>
      <c r="D121" s="134">
        <f t="shared" si="19"/>
        <v>5849</v>
      </c>
      <c r="E121" s="134">
        <v>5849</v>
      </c>
      <c r="F121" s="134">
        <v>0</v>
      </c>
      <c r="G121" s="163"/>
      <c r="H121" s="120"/>
    </row>
    <row r="122" spans="1:8" s="127" customFormat="1" ht="18.75">
      <c r="A122" s="161" t="s">
        <v>432</v>
      </c>
      <c r="B122" s="162" t="s">
        <v>447</v>
      </c>
      <c r="C122" s="134">
        <f t="shared" si="18"/>
        <v>17882</v>
      </c>
      <c r="D122" s="134">
        <f t="shared" si="19"/>
        <v>17882</v>
      </c>
      <c r="E122" s="134">
        <v>17882</v>
      </c>
      <c r="F122" s="134">
        <v>0</v>
      </c>
      <c r="G122" s="163"/>
      <c r="H122" s="120"/>
    </row>
    <row r="123" spans="1:8" s="127" customFormat="1" ht="37.5">
      <c r="A123" s="161" t="s">
        <v>432</v>
      </c>
      <c r="B123" s="162" t="s">
        <v>448</v>
      </c>
      <c r="C123" s="134">
        <f t="shared" si="18"/>
        <v>12284</v>
      </c>
      <c r="D123" s="134">
        <f t="shared" si="19"/>
        <v>12284</v>
      </c>
      <c r="E123" s="134">
        <v>12284</v>
      </c>
      <c r="F123" s="134">
        <v>0</v>
      </c>
      <c r="G123" s="163"/>
      <c r="H123" s="120"/>
    </row>
    <row r="124" spans="1:8" s="127" customFormat="1" ht="56.25">
      <c r="A124" s="161" t="s">
        <v>432</v>
      </c>
      <c r="B124" s="162" t="s">
        <v>449</v>
      </c>
      <c r="C124" s="134">
        <f t="shared" si="18"/>
        <v>25740</v>
      </c>
      <c r="D124" s="134">
        <f t="shared" si="19"/>
        <v>25740</v>
      </c>
      <c r="E124" s="134">
        <v>25740</v>
      </c>
      <c r="F124" s="134">
        <v>0</v>
      </c>
      <c r="G124" s="163"/>
      <c r="H124" s="120"/>
    </row>
    <row r="125" spans="1:8" s="127" customFormat="1" ht="18.75">
      <c r="A125" s="161" t="s">
        <v>432</v>
      </c>
      <c r="B125" s="162" t="s">
        <v>450</v>
      </c>
      <c r="C125" s="134">
        <f t="shared" si="18"/>
        <v>7282</v>
      </c>
      <c r="D125" s="134">
        <f t="shared" si="19"/>
        <v>7282</v>
      </c>
      <c r="E125" s="134">
        <v>7282</v>
      </c>
      <c r="F125" s="134">
        <v>0</v>
      </c>
      <c r="G125" s="163"/>
      <c r="H125" s="120"/>
    </row>
    <row r="126" spans="1:8" s="127" customFormat="1" ht="18.75">
      <c r="A126" s="161" t="s">
        <v>19</v>
      </c>
      <c r="B126" s="162" t="s">
        <v>152</v>
      </c>
      <c r="C126" s="134">
        <f t="shared" si="18"/>
        <v>4343</v>
      </c>
      <c r="D126" s="134">
        <f t="shared" si="19"/>
        <v>4343</v>
      </c>
      <c r="E126" s="134">
        <v>4343</v>
      </c>
      <c r="F126" s="134">
        <v>0</v>
      </c>
      <c r="G126" s="163"/>
      <c r="H126" s="120"/>
    </row>
    <row r="127" spans="1:8" s="127" customFormat="1" ht="56.25">
      <c r="A127" s="161" t="s">
        <v>432</v>
      </c>
      <c r="B127" s="162" t="s">
        <v>451</v>
      </c>
      <c r="C127" s="134">
        <f t="shared" si="18"/>
        <v>4343</v>
      </c>
      <c r="D127" s="134">
        <f t="shared" si="19"/>
        <v>4343</v>
      </c>
      <c r="E127" s="134">
        <v>4343</v>
      </c>
      <c r="F127" s="134">
        <v>0</v>
      </c>
      <c r="G127" s="163"/>
      <c r="H127" s="120"/>
    </row>
    <row r="128" spans="1:8" s="127" customFormat="1" ht="18.75">
      <c r="A128" s="161" t="s">
        <v>406</v>
      </c>
      <c r="B128" s="162" t="s">
        <v>407</v>
      </c>
      <c r="C128" s="134">
        <f t="shared" si="18"/>
        <v>99971</v>
      </c>
      <c r="D128" s="134">
        <f t="shared" si="19"/>
        <v>99971</v>
      </c>
      <c r="E128" s="134">
        <v>0</v>
      </c>
      <c r="F128" s="134">
        <v>99971</v>
      </c>
      <c r="G128" s="163"/>
      <c r="H128" s="120"/>
    </row>
    <row r="129" spans="1:8" s="127" customFormat="1" ht="18.75">
      <c r="A129" s="161" t="s">
        <v>161</v>
      </c>
      <c r="B129" s="162" t="s">
        <v>452</v>
      </c>
      <c r="C129" s="134">
        <f t="shared" si="18"/>
        <v>8491</v>
      </c>
      <c r="D129" s="134">
        <f t="shared" si="19"/>
        <v>8491</v>
      </c>
      <c r="E129" s="134">
        <v>0</v>
      </c>
      <c r="F129" s="134">
        <v>8491</v>
      </c>
      <c r="G129" s="163"/>
      <c r="H129" s="120"/>
    </row>
    <row r="130" spans="1:8" s="127" customFormat="1" ht="18.75">
      <c r="A130" s="161" t="s">
        <v>388</v>
      </c>
      <c r="B130" s="162" t="s">
        <v>407</v>
      </c>
      <c r="C130" s="134">
        <f t="shared" si="18"/>
        <v>8491</v>
      </c>
      <c r="D130" s="134">
        <f t="shared" si="19"/>
        <v>8491</v>
      </c>
      <c r="E130" s="134">
        <v>0</v>
      </c>
      <c r="F130" s="134">
        <v>8491</v>
      </c>
      <c r="G130" s="163"/>
      <c r="H130" s="120"/>
    </row>
    <row r="131" spans="1:8" s="127" customFormat="1" ht="37.5">
      <c r="A131" s="161" t="s">
        <v>163</v>
      </c>
      <c r="B131" s="162" t="s">
        <v>453</v>
      </c>
      <c r="C131" s="134">
        <f t="shared" si="18"/>
        <v>6000</v>
      </c>
      <c r="D131" s="134">
        <f t="shared" si="19"/>
        <v>6000</v>
      </c>
      <c r="E131" s="134">
        <v>6000</v>
      </c>
      <c r="F131" s="134">
        <v>0</v>
      </c>
      <c r="G131" s="163"/>
      <c r="H131" s="120"/>
    </row>
    <row r="132" spans="1:8" s="127" customFormat="1" ht="18.75">
      <c r="A132" s="161" t="s">
        <v>19</v>
      </c>
      <c r="B132" s="162" t="s">
        <v>454</v>
      </c>
      <c r="C132" s="134">
        <f t="shared" si="18"/>
        <v>6000</v>
      </c>
      <c r="D132" s="134">
        <f t="shared" si="19"/>
        <v>6000</v>
      </c>
      <c r="E132" s="134">
        <v>6000</v>
      </c>
      <c r="F132" s="134">
        <v>0</v>
      </c>
      <c r="G132" s="163"/>
      <c r="H132" s="120"/>
    </row>
    <row r="133" spans="1:8" s="127" customFormat="1" ht="18.75">
      <c r="A133" s="128" t="s">
        <v>75</v>
      </c>
      <c r="B133" s="129" t="s">
        <v>310</v>
      </c>
      <c r="C133" s="130"/>
      <c r="D133" s="164"/>
      <c r="E133" s="164"/>
      <c r="F133" s="164"/>
      <c r="G133" s="164"/>
    </row>
    <row r="134" spans="1:8" ht="15.95" customHeight="1">
      <c r="A134" s="165"/>
      <c r="B134" s="165"/>
      <c r="C134" s="165"/>
      <c r="D134" s="165"/>
      <c r="E134" s="165"/>
      <c r="F134" s="165"/>
      <c r="G134" s="165"/>
    </row>
    <row r="135" spans="1:8" ht="41.25" customHeight="1">
      <c r="A135" s="1170" t="s">
        <v>455</v>
      </c>
      <c r="B135" s="1165"/>
      <c r="C135" s="1165"/>
      <c r="D135" s="1165"/>
      <c r="E135" s="1165"/>
      <c r="F135" s="1165"/>
      <c r="G135" s="1165"/>
    </row>
    <row r="136" spans="1:8" ht="36" customHeight="1">
      <c r="A136" s="1165" t="s">
        <v>456</v>
      </c>
      <c r="B136" s="1165"/>
      <c r="C136" s="1165"/>
      <c r="D136" s="1165"/>
      <c r="E136" s="1165"/>
      <c r="F136" s="1165"/>
      <c r="G136" s="1165"/>
    </row>
    <row r="137" spans="1:8" ht="26.25" customHeight="1">
      <c r="A137" s="1164" t="s">
        <v>457</v>
      </c>
      <c r="B137" s="1164"/>
      <c r="C137" s="1164"/>
      <c r="D137" s="1164"/>
      <c r="E137" s="1164"/>
      <c r="F137" s="1164"/>
      <c r="G137" s="1164"/>
    </row>
    <row r="138" spans="1:8" ht="83.25" customHeight="1">
      <c r="A138" s="1165" t="s">
        <v>1209</v>
      </c>
      <c r="B138" s="1165"/>
      <c r="C138" s="1165"/>
      <c r="D138" s="1165"/>
      <c r="E138" s="1165"/>
      <c r="F138" s="1165"/>
      <c r="G138" s="1165"/>
    </row>
    <row r="139" spans="1:8" ht="18.75">
      <c r="A139" s="127"/>
      <c r="B139" s="127"/>
      <c r="C139" s="127"/>
    </row>
    <row r="140" spans="1:8" ht="18.75">
      <c r="A140" s="127"/>
      <c r="B140" s="127"/>
      <c r="C140" s="127"/>
    </row>
  </sheetData>
  <mergeCells count="18">
    <mergeCell ref="D1:G1"/>
    <mergeCell ref="A2:G2"/>
    <mergeCell ref="A3:G3"/>
    <mergeCell ref="A4:G4"/>
    <mergeCell ref="D5:G5"/>
    <mergeCell ref="A137:G137"/>
    <mergeCell ref="A138:G138"/>
    <mergeCell ref="E7:F7"/>
    <mergeCell ref="G7:G10"/>
    <mergeCell ref="E8:E10"/>
    <mergeCell ref="F8:F10"/>
    <mergeCell ref="A135:G135"/>
    <mergeCell ref="A136:G136"/>
    <mergeCell ref="A6:A10"/>
    <mergeCell ref="B6:B10"/>
    <mergeCell ref="C6:C10"/>
    <mergeCell ref="D6:G6"/>
    <mergeCell ref="D7:D10"/>
  </mergeCells>
  <printOptions horizontalCentered="1"/>
  <pageMargins left="0.43307086614173229" right="0.35433070866141736" top="0.31496062992125984" bottom="0.51181102362204722" header="0.19685039370078741" footer="0.19685039370078741"/>
  <pageSetup paperSize="9" scale="55" fitToHeight="0" orientation="portrait" r:id="rId1"/>
  <headerFooter alignWithMargins="0">
    <oddFooter>&amp;C&amp;".VnTime,  Italic"&amp;8
&amp;".VnTimeH,Regular"&amp;12&amp;P/&amp;N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57"/>
  <sheetViews>
    <sheetView zoomScale="65" zoomScaleNormal="65" workbookViewId="0">
      <pane xSplit="2" ySplit="8" topLeftCell="C9" activePane="bottomRight" state="frozen"/>
      <selection activeCell="D20" sqref="D20"/>
      <selection pane="topRight" activeCell="D20" sqref="D20"/>
      <selection pane="bottomLeft" activeCell="D20" sqref="D20"/>
      <selection pane="bottomRight" activeCell="C18" sqref="C18"/>
    </sheetView>
  </sheetViews>
  <sheetFormatPr defaultRowHeight="15.75"/>
  <cols>
    <col min="1" max="1" width="5.85546875" style="42" customWidth="1"/>
    <col min="2" max="2" width="122.42578125" style="42" customWidth="1"/>
    <col min="3" max="3" width="18.42578125" style="66" customWidth="1"/>
    <col min="4" max="4" width="9.140625" style="42"/>
    <col min="5" max="5" width="10" style="42" bestFit="1" customWidth="1"/>
    <col min="6" max="238" width="9.140625" style="42"/>
    <col min="239" max="239" width="5.85546875" style="42" customWidth="1"/>
    <col min="240" max="240" width="122.42578125" style="42" customWidth="1"/>
    <col min="241" max="241" width="18.42578125" style="42" customWidth="1"/>
    <col min="242" max="494" width="9.140625" style="42"/>
    <col min="495" max="495" width="5.85546875" style="42" customWidth="1"/>
    <col min="496" max="496" width="122.42578125" style="42" customWidth="1"/>
    <col min="497" max="497" width="18.42578125" style="42" customWidth="1"/>
    <col min="498" max="750" width="9.140625" style="42"/>
    <col min="751" max="751" width="5.85546875" style="42" customWidth="1"/>
    <col min="752" max="752" width="122.42578125" style="42" customWidth="1"/>
    <col min="753" max="753" width="18.42578125" style="42" customWidth="1"/>
    <col min="754" max="1006" width="9.140625" style="42"/>
    <col min="1007" max="1007" width="5.85546875" style="42" customWidth="1"/>
    <col min="1008" max="1008" width="122.42578125" style="42" customWidth="1"/>
    <col min="1009" max="1009" width="18.42578125" style="42" customWidth="1"/>
    <col min="1010" max="1262" width="9.140625" style="42"/>
    <col min="1263" max="1263" width="5.85546875" style="42" customWidth="1"/>
    <col min="1264" max="1264" width="122.42578125" style="42" customWidth="1"/>
    <col min="1265" max="1265" width="18.42578125" style="42" customWidth="1"/>
    <col min="1266" max="1518" width="9.140625" style="42"/>
    <col min="1519" max="1519" width="5.85546875" style="42" customWidth="1"/>
    <col min="1520" max="1520" width="122.42578125" style="42" customWidth="1"/>
    <col min="1521" max="1521" width="18.42578125" style="42" customWidth="1"/>
    <col min="1522" max="1774" width="9.140625" style="42"/>
    <col min="1775" max="1775" width="5.85546875" style="42" customWidth="1"/>
    <col min="1776" max="1776" width="122.42578125" style="42" customWidth="1"/>
    <col min="1777" max="1777" width="18.42578125" style="42" customWidth="1"/>
    <col min="1778" max="2030" width="9.140625" style="42"/>
    <col min="2031" max="2031" width="5.85546875" style="42" customWidth="1"/>
    <col min="2032" max="2032" width="122.42578125" style="42" customWidth="1"/>
    <col min="2033" max="2033" width="18.42578125" style="42" customWidth="1"/>
    <col min="2034" max="2286" width="9.140625" style="42"/>
    <col min="2287" max="2287" width="5.85546875" style="42" customWidth="1"/>
    <col min="2288" max="2288" width="122.42578125" style="42" customWidth="1"/>
    <col min="2289" max="2289" width="18.42578125" style="42" customWidth="1"/>
    <col min="2290" max="2542" width="9.140625" style="42"/>
    <col min="2543" max="2543" width="5.85546875" style="42" customWidth="1"/>
    <col min="2544" max="2544" width="122.42578125" style="42" customWidth="1"/>
    <col min="2545" max="2545" width="18.42578125" style="42" customWidth="1"/>
    <col min="2546" max="2798" width="9.140625" style="42"/>
    <col min="2799" max="2799" width="5.85546875" style="42" customWidth="1"/>
    <col min="2800" max="2800" width="122.42578125" style="42" customWidth="1"/>
    <col min="2801" max="2801" width="18.42578125" style="42" customWidth="1"/>
    <col min="2802" max="3054" width="9.140625" style="42"/>
    <col min="3055" max="3055" width="5.85546875" style="42" customWidth="1"/>
    <col min="3056" max="3056" width="122.42578125" style="42" customWidth="1"/>
    <col min="3057" max="3057" width="18.42578125" style="42" customWidth="1"/>
    <col min="3058" max="3310" width="9.140625" style="42"/>
    <col min="3311" max="3311" width="5.85546875" style="42" customWidth="1"/>
    <col min="3312" max="3312" width="122.42578125" style="42" customWidth="1"/>
    <col min="3313" max="3313" width="18.42578125" style="42" customWidth="1"/>
    <col min="3314" max="3566" width="9.140625" style="42"/>
    <col min="3567" max="3567" width="5.85546875" style="42" customWidth="1"/>
    <col min="3568" max="3568" width="122.42578125" style="42" customWidth="1"/>
    <col min="3569" max="3569" width="18.42578125" style="42" customWidth="1"/>
    <col min="3570" max="3822" width="9.140625" style="42"/>
    <col min="3823" max="3823" width="5.85546875" style="42" customWidth="1"/>
    <col min="3824" max="3824" width="122.42578125" style="42" customWidth="1"/>
    <col min="3825" max="3825" width="18.42578125" style="42" customWidth="1"/>
    <col min="3826" max="4078" width="9.140625" style="42"/>
    <col min="4079" max="4079" width="5.85546875" style="42" customWidth="1"/>
    <col min="4080" max="4080" width="122.42578125" style="42" customWidth="1"/>
    <col min="4081" max="4081" width="18.42578125" style="42" customWidth="1"/>
    <col min="4082" max="4334" width="9.140625" style="42"/>
    <col min="4335" max="4335" width="5.85546875" style="42" customWidth="1"/>
    <col min="4336" max="4336" width="122.42578125" style="42" customWidth="1"/>
    <col min="4337" max="4337" width="18.42578125" style="42" customWidth="1"/>
    <col min="4338" max="4590" width="9.140625" style="42"/>
    <col min="4591" max="4591" width="5.85546875" style="42" customWidth="1"/>
    <col min="4592" max="4592" width="122.42578125" style="42" customWidth="1"/>
    <col min="4593" max="4593" width="18.42578125" style="42" customWidth="1"/>
    <col min="4594" max="4846" width="9.140625" style="42"/>
    <col min="4847" max="4847" width="5.85546875" style="42" customWidth="1"/>
    <col min="4848" max="4848" width="122.42578125" style="42" customWidth="1"/>
    <col min="4849" max="4849" width="18.42578125" style="42" customWidth="1"/>
    <col min="4850" max="5102" width="9.140625" style="42"/>
    <col min="5103" max="5103" width="5.85546875" style="42" customWidth="1"/>
    <col min="5104" max="5104" width="122.42578125" style="42" customWidth="1"/>
    <col min="5105" max="5105" width="18.42578125" style="42" customWidth="1"/>
    <col min="5106" max="5358" width="9.140625" style="42"/>
    <col min="5359" max="5359" width="5.85546875" style="42" customWidth="1"/>
    <col min="5360" max="5360" width="122.42578125" style="42" customWidth="1"/>
    <col min="5361" max="5361" width="18.42578125" style="42" customWidth="1"/>
    <col min="5362" max="5614" width="9.140625" style="42"/>
    <col min="5615" max="5615" width="5.85546875" style="42" customWidth="1"/>
    <col min="5616" max="5616" width="122.42578125" style="42" customWidth="1"/>
    <col min="5617" max="5617" width="18.42578125" style="42" customWidth="1"/>
    <col min="5618" max="5870" width="9.140625" style="42"/>
    <col min="5871" max="5871" width="5.85546875" style="42" customWidth="1"/>
    <col min="5872" max="5872" width="122.42578125" style="42" customWidth="1"/>
    <col min="5873" max="5873" width="18.42578125" style="42" customWidth="1"/>
    <col min="5874" max="6126" width="9.140625" style="42"/>
    <col min="6127" max="6127" width="5.85546875" style="42" customWidth="1"/>
    <col min="6128" max="6128" width="122.42578125" style="42" customWidth="1"/>
    <col min="6129" max="6129" width="18.42578125" style="42" customWidth="1"/>
    <col min="6130" max="6382" width="9.140625" style="42"/>
    <col min="6383" max="6383" width="5.85546875" style="42" customWidth="1"/>
    <col min="6384" max="6384" width="122.42578125" style="42" customWidth="1"/>
    <col min="6385" max="6385" width="18.42578125" style="42" customWidth="1"/>
    <col min="6386" max="6638" width="9.140625" style="42"/>
    <col min="6639" max="6639" width="5.85546875" style="42" customWidth="1"/>
    <col min="6640" max="6640" width="122.42578125" style="42" customWidth="1"/>
    <col min="6641" max="6641" width="18.42578125" style="42" customWidth="1"/>
    <col min="6642" max="6894" width="9.140625" style="42"/>
    <col min="6895" max="6895" width="5.85546875" style="42" customWidth="1"/>
    <col min="6896" max="6896" width="122.42578125" style="42" customWidth="1"/>
    <col min="6897" max="6897" width="18.42578125" style="42" customWidth="1"/>
    <col min="6898" max="7150" width="9.140625" style="42"/>
    <col min="7151" max="7151" width="5.85546875" style="42" customWidth="1"/>
    <col min="7152" max="7152" width="122.42578125" style="42" customWidth="1"/>
    <col min="7153" max="7153" width="18.42578125" style="42" customWidth="1"/>
    <col min="7154" max="7406" width="9.140625" style="42"/>
    <col min="7407" max="7407" width="5.85546875" style="42" customWidth="1"/>
    <col min="7408" max="7408" width="122.42578125" style="42" customWidth="1"/>
    <col min="7409" max="7409" width="18.42578125" style="42" customWidth="1"/>
    <col min="7410" max="7662" width="9.140625" style="42"/>
    <col min="7663" max="7663" width="5.85546875" style="42" customWidth="1"/>
    <col min="7664" max="7664" width="122.42578125" style="42" customWidth="1"/>
    <col min="7665" max="7665" width="18.42578125" style="42" customWidth="1"/>
    <col min="7666" max="7918" width="9.140625" style="42"/>
    <col min="7919" max="7919" width="5.85546875" style="42" customWidth="1"/>
    <col min="7920" max="7920" width="122.42578125" style="42" customWidth="1"/>
    <col min="7921" max="7921" width="18.42578125" style="42" customWidth="1"/>
    <col min="7922" max="8174" width="9.140625" style="42"/>
    <col min="8175" max="8175" width="5.85546875" style="42" customWidth="1"/>
    <col min="8176" max="8176" width="122.42578125" style="42" customWidth="1"/>
    <col min="8177" max="8177" width="18.42578125" style="42" customWidth="1"/>
    <col min="8178" max="8430" width="9.140625" style="42"/>
    <col min="8431" max="8431" width="5.85546875" style="42" customWidth="1"/>
    <col min="8432" max="8432" width="122.42578125" style="42" customWidth="1"/>
    <col min="8433" max="8433" width="18.42578125" style="42" customWidth="1"/>
    <col min="8434" max="8686" width="9.140625" style="42"/>
    <col min="8687" max="8687" width="5.85546875" style="42" customWidth="1"/>
    <col min="8688" max="8688" width="122.42578125" style="42" customWidth="1"/>
    <col min="8689" max="8689" width="18.42578125" style="42" customWidth="1"/>
    <col min="8690" max="8942" width="9.140625" style="42"/>
    <col min="8943" max="8943" width="5.85546875" style="42" customWidth="1"/>
    <col min="8944" max="8944" width="122.42578125" style="42" customWidth="1"/>
    <col min="8945" max="8945" width="18.42578125" style="42" customWidth="1"/>
    <col min="8946" max="9198" width="9.140625" style="42"/>
    <col min="9199" max="9199" width="5.85546875" style="42" customWidth="1"/>
    <col min="9200" max="9200" width="122.42578125" style="42" customWidth="1"/>
    <col min="9201" max="9201" width="18.42578125" style="42" customWidth="1"/>
    <col min="9202" max="9454" width="9.140625" style="42"/>
    <col min="9455" max="9455" width="5.85546875" style="42" customWidth="1"/>
    <col min="9456" max="9456" width="122.42578125" style="42" customWidth="1"/>
    <col min="9457" max="9457" width="18.42578125" style="42" customWidth="1"/>
    <col min="9458" max="9710" width="9.140625" style="42"/>
    <col min="9711" max="9711" width="5.85546875" style="42" customWidth="1"/>
    <col min="9712" max="9712" width="122.42578125" style="42" customWidth="1"/>
    <col min="9713" max="9713" width="18.42578125" style="42" customWidth="1"/>
    <col min="9714" max="9966" width="9.140625" style="42"/>
    <col min="9967" max="9967" width="5.85546875" style="42" customWidth="1"/>
    <col min="9968" max="9968" width="122.42578125" style="42" customWidth="1"/>
    <col min="9969" max="9969" width="18.42578125" style="42" customWidth="1"/>
    <col min="9970" max="10222" width="9.140625" style="42"/>
    <col min="10223" max="10223" width="5.85546875" style="42" customWidth="1"/>
    <col min="10224" max="10224" width="122.42578125" style="42" customWidth="1"/>
    <col min="10225" max="10225" width="18.42578125" style="42" customWidth="1"/>
    <col min="10226" max="10478" width="9.140625" style="42"/>
    <col min="10479" max="10479" width="5.85546875" style="42" customWidth="1"/>
    <col min="10480" max="10480" width="122.42578125" style="42" customWidth="1"/>
    <col min="10481" max="10481" width="18.42578125" style="42" customWidth="1"/>
    <col min="10482" max="10734" width="9.140625" style="42"/>
    <col min="10735" max="10735" width="5.85546875" style="42" customWidth="1"/>
    <col min="10736" max="10736" width="122.42578125" style="42" customWidth="1"/>
    <col min="10737" max="10737" width="18.42578125" style="42" customWidth="1"/>
    <col min="10738" max="10990" width="9.140625" style="42"/>
    <col min="10991" max="10991" width="5.85546875" style="42" customWidth="1"/>
    <col min="10992" max="10992" width="122.42578125" style="42" customWidth="1"/>
    <col min="10993" max="10993" width="18.42578125" style="42" customWidth="1"/>
    <col min="10994" max="11246" width="9.140625" style="42"/>
    <col min="11247" max="11247" width="5.85546875" style="42" customWidth="1"/>
    <col min="11248" max="11248" width="122.42578125" style="42" customWidth="1"/>
    <col min="11249" max="11249" width="18.42578125" style="42" customWidth="1"/>
    <col min="11250" max="11502" width="9.140625" style="42"/>
    <col min="11503" max="11503" width="5.85546875" style="42" customWidth="1"/>
    <col min="11504" max="11504" width="122.42578125" style="42" customWidth="1"/>
    <col min="11505" max="11505" width="18.42578125" style="42" customWidth="1"/>
    <col min="11506" max="11758" width="9.140625" style="42"/>
    <col min="11759" max="11759" width="5.85546875" style="42" customWidth="1"/>
    <col min="11760" max="11760" width="122.42578125" style="42" customWidth="1"/>
    <col min="11761" max="11761" width="18.42578125" style="42" customWidth="1"/>
    <col min="11762" max="12014" width="9.140625" style="42"/>
    <col min="12015" max="12015" width="5.85546875" style="42" customWidth="1"/>
    <col min="12016" max="12016" width="122.42578125" style="42" customWidth="1"/>
    <col min="12017" max="12017" width="18.42578125" style="42" customWidth="1"/>
    <col min="12018" max="12270" width="9.140625" style="42"/>
    <col min="12271" max="12271" width="5.85546875" style="42" customWidth="1"/>
    <col min="12272" max="12272" width="122.42578125" style="42" customWidth="1"/>
    <col min="12273" max="12273" width="18.42578125" style="42" customWidth="1"/>
    <col min="12274" max="12526" width="9.140625" style="42"/>
    <col min="12527" max="12527" width="5.85546875" style="42" customWidth="1"/>
    <col min="12528" max="12528" width="122.42578125" style="42" customWidth="1"/>
    <col min="12529" max="12529" width="18.42578125" style="42" customWidth="1"/>
    <col min="12530" max="12782" width="9.140625" style="42"/>
    <col min="12783" max="12783" width="5.85546875" style="42" customWidth="1"/>
    <col min="12784" max="12784" width="122.42578125" style="42" customWidth="1"/>
    <col min="12785" max="12785" width="18.42578125" style="42" customWidth="1"/>
    <col min="12786" max="13038" width="9.140625" style="42"/>
    <col min="13039" max="13039" width="5.85546875" style="42" customWidth="1"/>
    <col min="13040" max="13040" width="122.42578125" style="42" customWidth="1"/>
    <col min="13041" max="13041" width="18.42578125" style="42" customWidth="1"/>
    <col min="13042" max="13294" width="9.140625" style="42"/>
    <col min="13295" max="13295" width="5.85546875" style="42" customWidth="1"/>
    <col min="13296" max="13296" width="122.42578125" style="42" customWidth="1"/>
    <col min="13297" max="13297" width="18.42578125" style="42" customWidth="1"/>
    <col min="13298" max="13550" width="9.140625" style="42"/>
    <col min="13551" max="13551" width="5.85546875" style="42" customWidth="1"/>
    <col min="13552" max="13552" width="122.42578125" style="42" customWidth="1"/>
    <col min="13553" max="13553" width="18.42578125" style="42" customWidth="1"/>
    <col min="13554" max="13806" width="9.140625" style="42"/>
    <col min="13807" max="13807" width="5.85546875" style="42" customWidth="1"/>
    <col min="13808" max="13808" width="122.42578125" style="42" customWidth="1"/>
    <col min="13809" max="13809" width="18.42578125" style="42" customWidth="1"/>
    <col min="13810" max="14062" width="9.140625" style="42"/>
    <col min="14063" max="14063" width="5.85546875" style="42" customWidth="1"/>
    <col min="14064" max="14064" width="122.42578125" style="42" customWidth="1"/>
    <col min="14065" max="14065" width="18.42578125" style="42" customWidth="1"/>
    <col min="14066" max="14318" width="9.140625" style="42"/>
    <col min="14319" max="14319" width="5.85546875" style="42" customWidth="1"/>
    <col min="14320" max="14320" width="122.42578125" style="42" customWidth="1"/>
    <col min="14321" max="14321" width="18.42578125" style="42" customWidth="1"/>
    <col min="14322" max="14574" width="9.140625" style="42"/>
    <col min="14575" max="14575" width="5.85546875" style="42" customWidth="1"/>
    <col min="14576" max="14576" width="122.42578125" style="42" customWidth="1"/>
    <col min="14577" max="14577" width="18.42578125" style="42" customWidth="1"/>
    <col min="14578" max="14830" width="9.140625" style="42"/>
    <col min="14831" max="14831" width="5.85546875" style="42" customWidth="1"/>
    <col min="14832" max="14832" width="122.42578125" style="42" customWidth="1"/>
    <col min="14833" max="14833" width="18.42578125" style="42" customWidth="1"/>
    <col min="14834" max="15086" width="9.140625" style="42"/>
    <col min="15087" max="15087" width="5.85546875" style="42" customWidth="1"/>
    <col min="15088" max="15088" width="122.42578125" style="42" customWidth="1"/>
    <col min="15089" max="15089" width="18.42578125" style="42" customWidth="1"/>
    <col min="15090" max="15342" width="9.140625" style="42"/>
    <col min="15343" max="15343" width="5.85546875" style="42" customWidth="1"/>
    <col min="15344" max="15344" width="122.42578125" style="42" customWidth="1"/>
    <col min="15345" max="15345" width="18.42578125" style="42" customWidth="1"/>
    <col min="15346" max="15598" width="9.140625" style="42"/>
    <col min="15599" max="15599" width="5.85546875" style="42" customWidth="1"/>
    <col min="15600" max="15600" width="122.42578125" style="42" customWidth="1"/>
    <col min="15601" max="15601" width="18.42578125" style="42" customWidth="1"/>
    <col min="15602" max="15854" width="9.140625" style="42"/>
    <col min="15855" max="15855" width="5.85546875" style="42" customWidth="1"/>
    <col min="15856" max="15856" width="122.42578125" style="42" customWidth="1"/>
    <col min="15857" max="15857" width="18.42578125" style="42" customWidth="1"/>
    <col min="15858" max="16110" width="9.140625" style="42"/>
    <col min="16111" max="16111" width="5.85546875" style="42" customWidth="1"/>
    <col min="16112" max="16112" width="122.42578125" style="42" customWidth="1"/>
    <col min="16113" max="16113" width="18.42578125" style="42" customWidth="1"/>
    <col min="16114" max="16384" width="9.140625" style="42"/>
  </cols>
  <sheetData>
    <row r="1" spans="1:3" ht="21" customHeight="1">
      <c r="A1" s="40"/>
      <c r="B1" s="40"/>
      <c r="C1" s="41" t="s">
        <v>307</v>
      </c>
    </row>
    <row r="2" spans="1:3" ht="21" customHeight="1">
      <c r="A2" s="1022" t="s">
        <v>308</v>
      </c>
      <c r="B2" s="1022"/>
      <c r="C2" s="1022"/>
    </row>
    <row r="3" spans="1:3" ht="21" customHeight="1">
      <c r="A3" s="1181" t="s">
        <v>1210</v>
      </c>
      <c r="B3" s="1181"/>
      <c r="C3" s="1181"/>
    </row>
    <row r="4" spans="1:3" ht="19.5" customHeight="1">
      <c r="A4" s="43"/>
      <c r="B4" s="43"/>
      <c r="C4" s="44" t="s">
        <v>2</v>
      </c>
    </row>
    <row r="5" spans="1:3" s="45" customFormat="1" ht="23.25" customHeight="1">
      <c r="A5" s="1069" t="s">
        <v>3</v>
      </c>
      <c r="B5" s="1069" t="s">
        <v>4</v>
      </c>
      <c r="C5" s="1070" t="s">
        <v>39</v>
      </c>
    </row>
    <row r="6" spans="1:3" s="45" customFormat="1" ht="23.25" customHeight="1">
      <c r="A6" s="1069"/>
      <c r="B6" s="1069"/>
      <c r="C6" s="1070"/>
    </row>
    <row r="7" spans="1:3" s="45" customFormat="1" ht="23.25" customHeight="1">
      <c r="A7" s="1069"/>
      <c r="B7" s="1069"/>
      <c r="C7" s="1070"/>
    </row>
    <row r="8" spans="1:3" s="47" customFormat="1" ht="17.25" customHeight="1">
      <c r="A8" s="46" t="s">
        <v>10</v>
      </c>
      <c r="B8" s="46" t="s">
        <v>11</v>
      </c>
      <c r="C8" s="46">
        <v>1</v>
      </c>
    </row>
    <row r="9" spans="1:3" s="51" customFormat="1" ht="21.75" customHeight="1">
      <c r="A9" s="48"/>
      <c r="B9" s="49" t="s">
        <v>41</v>
      </c>
      <c r="C9" s="50">
        <f>C10+C11+C47</f>
        <v>7667068</v>
      </c>
    </row>
    <row r="10" spans="1:3" s="51" customFormat="1" ht="21.75" customHeight="1">
      <c r="A10" s="52" t="s">
        <v>10</v>
      </c>
      <c r="B10" s="53" t="s">
        <v>42</v>
      </c>
      <c r="C10" s="54">
        <f>'PL30'!E22</f>
        <v>3676419</v>
      </c>
    </row>
    <row r="11" spans="1:3" s="51" customFormat="1" ht="21.75" customHeight="1">
      <c r="A11" s="52" t="s">
        <v>11</v>
      </c>
      <c r="B11" s="53" t="s">
        <v>309</v>
      </c>
      <c r="C11" s="54">
        <f>C12+C29+C43+C44+C45+C46</f>
        <v>3990649</v>
      </c>
    </row>
    <row r="12" spans="1:3" s="51" customFormat="1" ht="21.75" customHeight="1">
      <c r="A12" s="52" t="s">
        <v>15</v>
      </c>
      <c r="B12" s="53" t="s">
        <v>46</v>
      </c>
      <c r="C12" s="54">
        <v>426424</v>
      </c>
    </row>
    <row r="13" spans="1:3" s="58" customFormat="1" ht="21.75" customHeight="1">
      <c r="A13" s="55">
        <v>1</v>
      </c>
      <c r="B13" s="56" t="s">
        <v>47</v>
      </c>
      <c r="C13" s="57">
        <f>SUM(C14:C26)</f>
        <v>426424</v>
      </c>
    </row>
    <row r="14" spans="1:3" s="58" customFormat="1" ht="21.75" customHeight="1">
      <c r="A14" s="59" t="s">
        <v>19</v>
      </c>
      <c r="B14" s="56" t="s">
        <v>48</v>
      </c>
      <c r="C14" s="57">
        <f>PL36_TCDT!D10</f>
        <v>85900</v>
      </c>
    </row>
    <row r="15" spans="1:3" s="58" customFormat="1" ht="21.75" customHeight="1">
      <c r="A15" s="59" t="s">
        <v>19</v>
      </c>
      <c r="B15" s="56" t="s">
        <v>49</v>
      </c>
      <c r="C15" s="57">
        <f>PL36_TCDT!E10</f>
        <v>25900</v>
      </c>
    </row>
    <row r="16" spans="1:3" s="58" customFormat="1" ht="21.75" customHeight="1">
      <c r="A16" s="59" t="s">
        <v>19</v>
      </c>
      <c r="B16" s="16" t="s">
        <v>50</v>
      </c>
      <c r="C16" s="57">
        <f>PL36_TCDT!F10</f>
        <v>50123</v>
      </c>
    </row>
    <row r="17" spans="1:5" s="58" customFormat="1" ht="21.75" customHeight="1">
      <c r="A17" s="59" t="s">
        <v>19</v>
      </c>
      <c r="B17" s="16" t="s">
        <v>51</v>
      </c>
      <c r="C17" s="1013">
        <f>PL36_TCDT!G10</f>
        <v>0</v>
      </c>
    </row>
    <row r="18" spans="1:5" s="58" customFormat="1" ht="21.75" customHeight="1">
      <c r="A18" s="59" t="s">
        <v>19</v>
      </c>
      <c r="B18" s="16" t="s">
        <v>52</v>
      </c>
      <c r="C18" s="57">
        <f>PL36_TCDT!H10</f>
        <v>32000</v>
      </c>
    </row>
    <row r="19" spans="1:5" s="58" customFormat="1" ht="21.75" customHeight="1">
      <c r="A19" s="59" t="s">
        <v>19</v>
      </c>
      <c r="B19" s="16" t="s">
        <v>53</v>
      </c>
      <c r="C19" s="57">
        <f>PL36_TCDT!I10</f>
        <v>15000</v>
      </c>
    </row>
    <row r="20" spans="1:5" s="58" customFormat="1" ht="21.75" customHeight="1">
      <c r="A20" s="59" t="s">
        <v>19</v>
      </c>
      <c r="B20" s="16" t="s">
        <v>54</v>
      </c>
      <c r="C20" s="1013">
        <f>PL36_TCDT!J10</f>
        <v>0</v>
      </c>
    </row>
    <row r="21" spans="1:5" s="58" customFormat="1" ht="21.75" customHeight="1">
      <c r="A21" s="59" t="s">
        <v>19</v>
      </c>
      <c r="B21" s="16" t="s">
        <v>55</v>
      </c>
      <c r="C21" s="1013">
        <f>PL36_TCDT!K10</f>
        <v>0</v>
      </c>
    </row>
    <row r="22" spans="1:5" s="58" customFormat="1" ht="21.75" customHeight="1">
      <c r="A22" s="59" t="s">
        <v>19</v>
      </c>
      <c r="B22" s="16" t="s">
        <v>56</v>
      </c>
      <c r="C22" s="1013">
        <f>PL36_TCDT!L10</f>
        <v>0</v>
      </c>
    </row>
    <row r="23" spans="1:5" s="51" customFormat="1" ht="21.75" customHeight="1">
      <c r="A23" s="59" t="s">
        <v>19</v>
      </c>
      <c r="B23" s="16" t="s">
        <v>57</v>
      </c>
      <c r="C23" s="57">
        <f>PL36_TCDT!M10</f>
        <v>172907</v>
      </c>
      <c r="E23" s="747"/>
    </row>
    <row r="24" spans="1:5" s="58" customFormat="1" ht="21.75" customHeight="1">
      <c r="A24" s="59" t="s">
        <v>19</v>
      </c>
      <c r="B24" s="16" t="s">
        <v>58</v>
      </c>
      <c r="C24" s="1013">
        <f>PL36_TCDT!P10</f>
        <v>0</v>
      </c>
    </row>
    <row r="25" spans="1:5" s="51" customFormat="1" ht="21.75" customHeight="1">
      <c r="A25" s="59" t="s">
        <v>19</v>
      </c>
      <c r="B25" s="16" t="s">
        <v>59</v>
      </c>
      <c r="C25" s="1013">
        <f>PL36_TCDT!Q10</f>
        <v>0</v>
      </c>
    </row>
    <row r="26" spans="1:5" s="51" customFormat="1" ht="21.75" customHeight="1">
      <c r="A26" s="59" t="s">
        <v>19</v>
      </c>
      <c r="B26" s="16" t="s">
        <v>60</v>
      </c>
      <c r="C26" s="57">
        <f>PL36_TCDT!R10</f>
        <v>44594</v>
      </c>
    </row>
    <row r="27" spans="1:5" s="51" customFormat="1" ht="41.25" customHeight="1">
      <c r="A27" s="55">
        <v>2</v>
      </c>
      <c r="B27" s="60" t="s">
        <v>61</v>
      </c>
      <c r="C27" s="57"/>
    </row>
    <row r="28" spans="1:5" s="51" customFormat="1" ht="21.75" customHeight="1">
      <c r="A28" s="59">
        <v>3</v>
      </c>
      <c r="B28" s="16" t="s">
        <v>62</v>
      </c>
      <c r="C28" s="57"/>
    </row>
    <row r="29" spans="1:5" s="51" customFormat="1" ht="21.75" customHeight="1">
      <c r="A29" s="52" t="s">
        <v>25</v>
      </c>
      <c r="B29" s="53" t="s">
        <v>63</v>
      </c>
      <c r="C29" s="61">
        <f>SUM(C30:C42)</f>
        <v>1993571</v>
      </c>
    </row>
    <row r="30" spans="1:5" s="58" customFormat="1" ht="21.75" customHeight="1">
      <c r="A30" s="59" t="s">
        <v>19</v>
      </c>
      <c r="B30" s="56" t="s">
        <v>48</v>
      </c>
      <c r="C30" s="57">
        <f>'PL37'!E10</f>
        <v>572560</v>
      </c>
    </row>
    <row r="31" spans="1:5" s="58" customFormat="1" ht="21.75" customHeight="1">
      <c r="A31" s="59" t="s">
        <v>19</v>
      </c>
      <c r="B31" s="56" t="s">
        <v>64</v>
      </c>
      <c r="C31" s="57">
        <f>'PL37'!F10</f>
        <v>14578</v>
      </c>
    </row>
    <row r="32" spans="1:5" s="58" customFormat="1" ht="21.75" customHeight="1">
      <c r="A32" s="59" t="s">
        <v>19</v>
      </c>
      <c r="B32" s="16" t="s">
        <v>50</v>
      </c>
      <c r="C32" s="57">
        <f>'PL37'!G10</f>
        <v>72669</v>
      </c>
    </row>
    <row r="33" spans="1:3" s="58" customFormat="1" ht="21.75" customHeight="1">
      <c r="A33" s="59" t="s">
        <v>19</v>
      </c>
      <c r="B33" s="16" t="s">
        <v>51</v>
      </c>
      <c r="C33" s="57">
        <f>'PL37'!H10</f>
        <v>19383</v>
      </c>
    </row>
    <row r="34" spans="1:3" s="58" customFormat="1" ht="21.75" customHeight="1">
      <c r="A34" s="59" t="s">
        <v>19</v>
      </c>
      <c r="B34" s="16" t="s">
        <v>52</v>
      </c>
      <c r="C34" s="57">
        <f>'PL37'!I10</f>
        <v>398069</v>
      </c>
    </row>
    <row r="35" spans="1:3" s="58" customFormat="1" ht="21.75" customHeight="1">
      <c r="A35" s="59" t="s">
        <v>19</v>
      </c>
      <c r="B35" s="16" t="s">
        <v>53</v>
      </c>
      <c r="C35" s="57">
        <f>'PL37'!J10</f>
        <v>56622</v>
      </c>
    </row>
    <row r="36" spans="1:3" s="58" customFormat="1" ht="21.75" customHeight="1">
      <c r="A36" s="59" t="s">
        <v>19</v>
      </c>
      <c r="B36" s="16" t="s">
        <v>54</v>
      </c>
      <c r="C36" s="57">
        <f>'PL37'!K10</f>
        <v>25206</v>
      </c>
    </row>
    <row r="37" spans="1:3" s="58" customFormat="1" ht="21.75" customHeight="1">
      <c r="A37" s="59" t="s">
        <v>19</v>
      </c>
      <c r="B37" s="16" t="s">
        <v>55</v>
      </c>
      <c r="C37" s="57">
        <f>'PL37'!L10</f>
        <v>18874</v>
      </c>
    </row>
    <row r="38" spans="1:3" s="58" customFormat="1" ht="21.75" customHeight="1">
      <c r="A38" s="59" t="s">
        <v>19</v>
      </c>
      <c r="B38" s="16" t="s">
        <v>56</v>
      </c>
      <c r="C38" s="57">
        <f>'PL37'!M10</f>
        <v>13855</v>
      </c>
    </row>
    <row r="39" spans="1:3" s="51" customFormat="1" ht="21.75" customHeight="1">
      <c r="A39" s="59" t="s">
        <v>19</v>
      </c>
      <c r="B39" s="16" t="s">
        <v>57</v>
      </c>
      <c r="C39" s="57">
        <f>'PL37'!N10</f>
        <v>212630</v>
      </c>
    </row>
    <row r="40" spans="1:3" s="58" customFormat="1" ht="21.75" customHeight="1">
      <c r="A40" s="59" t="s">
        <v>19</v>
      </c>
      <c r="B40" s="16" t="s">
        <v>58</v>
      </c>
      <c r="C40" s="57">
        <f>'PL37'!Q10</f>
        <v>509641</v>
      </c>
    </row>
    <row r="41" spans="1:3" s="51" customFormat="1" ht="21.75" customHeight="1">
      <c r="A41" s="59" t="s">
        <v>19</v>
      </c>
      <c r="B41" s="16" t="s">
        <v>59</v>
      </c>
      <c r="C41" s="57">
        <f>'PL37'!R10</f>
        <v>43942</v>
      </c>
    </row>
    <row r="42" spans="1:3" s="51" customFormat="1" ht="21.75" customHeight="1">
      <c r="A42" s="59" t="s">
        <v>19</v>
      </c>
      <c r="B42" s="16" t="s">
        <v>65</v>
      </c>
      <c r="C42" s="57">
        <f>'PL37'!S10</f>
        <v>35542</v>
      </c>
    </row>
    <row r="43" spans="1:3" s="51" customFormat="1" ht="21.75" customHeight="1">
      <c r="A43" s="52" t="s">
        <v>32</v>
      </c>
      <c r="B43" s="53" t="s">
        <v>66</v>
      </c>
      <c r="C43" s="61">
        <v>2300</v>
      </c>
    </row>
    <row r="44" spans="1:3" s="51" customFormat="1" ht="21.75" customHeight="1">
      <c r="A44" s="52" t="s">
        <v>67</v>
      </c>
      <c r="B44" s="53" t="s">
        <v>68</v>
      </c>
      <c r="C44" s="61">
        <v>1000</v>
      </c>
    </row>
    <row r="45" spans="1:3" s="51" customFormat="1" ht="21.75" customHeight="1">
      <c r="A45" s="52" t="s">
        <v>69</v>
      </c>
      <c r="B45" s="53" t="s">
        <v>70</v>
      </c>
      <c r="C45" s="61">
        <v>91629.42</v>
      </c>
    </row>
    <row r="46" spans="1:3" s="51" customFormat="1" ht="21.75" customHeight="1">
      <c r="A46" s="52" t="s">
        <v>71</v>
      </c>
      <c r="B46" s="53" t="s">
        <v>72</v>
      </c>
      <c r="C46" s="61">
        <v>1475724.58</v>
      </c>
    </row>
    <row r="47" spans="1:3" s="51" customFormat="1" ht="21.75" customHeight="1">
      <c r="A47" s="52" t="s">
        <v>75</v>
      </c>
      <c r="B47" s="53" t="s">
        <v>310</v>
      </c>
      <c r="C47" s="57"/>
    </row>
    <row r="48" spans="1:3" ht="15.95" customHeight="1">
      <c r="A48" s="62"/>
      <c r="B48" s="62"/>
      <c r="C48" s="63"/>
    </row>
    <row r="49" spans="1:5" ht="27.75" customHeight="1">
      <c r="A49" s="64" t="s">
        <v>80</v>
      </c>
      <c r="B49" s="58"/>
      <c r="C49" s="65"/>
    </row>
    <row r="50" spans="1:5">
      <c r="A50" s="1180" t="s">
        <v>311</v>
      </c>
      <c r="B50" s="1180"/>
      <c r="C50" s="1180"/>
    </row>
    <row r="51" spans="1:5">
      <c r="A51" s="1180" t="s">
        <v>312</v>
      </c>
      <c r="B51" s="1180"/>
      <c r="C51" s="1180"/>
    </row>
    <row r="52" spans="1:5" ht="15.75" customHeight="1">
      <c r="A52" s="1180" t="s">
        <v>313</v>
      </c>
      <c r="B52" s="1180"/>
      <c r="C52" s="1180"/>
      <c r="D52" s="66"/>
      <c r="E52" s="66"/>
    </row>
    <row r="53" spans="1:5" ht="15.75" customHeight="1">
      <c r="A53" s="58"/>
      <c r="B53" s="64" t="s">
        <v>314</v>
      </c>
      <c r="C53" s="42"/>
      <c r="D53" s="66"/>
      <c r="E53" s="66"/>
    </row>
    <row r="54" spans="1:5" ht="15.75" customHeight="1">
      <c r="A54" s="58"/>
      <c r="B54" s="1180" t="s">
        <v>315</v>
      </c>
      <c r="C54" s="1180"/>
      <c r="D54" s="67"/>
      <c r="E54" s="67"/>
    </row>
    <row r="55" spans="1:5" ht="18.75">
      <c r="A55" s="51"/>
      <c r="B55" s="51"/>
    </row>
    <row r="56" spans="1:5" ht="18.75">
      <c r="A56" s="51"/>
      <c r="B56" s="51"/>
    </row>
    <row r="57" spans="1:5" ht="18.75">
      <c r="A57" s="51"/>
      <c r="B57" s="51"/>
    </row>
  </sheetData>
  <mergeCells count="9">
    <mergeCell ref="A51:C51"/>
    <mergeCell ref="A52:C52"/>
    <mergeCell ref="B54:C54"/>
    <mergeCell ref="A2:C2"/>
    <mergeCell ref="A3:C3"/>
    <mergeCell ref="A5:A7"/>
    <mergeCell ref="B5:B7"/>
    <mergeCell ref="C5:C7"/>
    <mergeCell ref="A50:C50"/>
  </mergeCells>
  <printOptions horizontalCentered="1"/>
  <pageMargins left="0.31" right="0.36" top="0.87" bottom="0.17" header="0.56000000000000005" footer="0.23"/>
  <pageSetup paperSize="9" scale="67" fitToHeight="5" orientation="portrait" r:id="rId1"/>
  <headerFooter alignWithMargins="0">
    <oddHeader>&amp;C38</oddHeader>
    <oddFooter xml:space="preserve">&amp;C&amp;".VnTime,Italic"&amp;8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142"/>
  <sheetViews>
    <sheetView zoomScale="70" zoomScaleNormal="70" workbookViewId="0">
      <pane xSplit="2" ySplit="9" topLeftCell="C121" activePane="bottomRight" state="frozen"/>
      <selection activeCell="D20" sqref="D20"/>
      <selection pane="topRight" activeCell="D20" sqref="D20"/>
      <selection pane="bottomLeft" activeCell="D20" sqref="D20"/>
      <selection pane="bottomRight" activeCell="B129" sqref="B129"/>
    </sheetView>
  </sheetViews>
  <sheetFormatPr defaultRowHeight="15.75" outlineLevelRow="1"/>
  <cols>
    <col min="1" max="1" width="5.85546875" style="42" customWidth="1"/>
    <col min="2" max="2" width="54.7109375" style="95" customWidth="1"/>
    <col min="3" max="3" width="14" style="42" customWidth="1"/>
    <col min="4" max="4" width="13.85546875" style="42" customWidth="1"/>
    <col min="5" max="5" width="15.85546875" style="42" customWidth="1"/>
    <col min="6" max="8" width="11.5703125" style="42" customWidth="1"/>
    <col min="9" max="9" width="14.85546875" style="42" customWidth="1"/>
    <col min="10" max="10" width="13.85546875" style="42" customWidth="1"/>
    <col min="11" max="11" width="14.5703125" style="42" bestFit="1" customWidth="1"/>
    <col min="12" max="12" width="14.42578125" style="42" bestFit="1" customWidth="1"/>
    <col min="13" max="13" width="15.28515625" style="42" bestFit="1" customWidth="1"/>
    <col min="14" max="14" width="15.140625" style="42" customWidth="1"/>
    <col min="15" max="15" width="15.42578125" style="42" customWidth="1"/>
    <col min="16" max="16" width="13.85546875" style="42" customWidth="1"/>
    <col min="17" max="17" width="13.5703125" style="42" customWidth="1"/>
    <col min="18" max="259" width="9.140625" style="42"/>
    <col min="260" max="260" width="5.85546875" style="42" customWidth="1"/>
    <col min="261" max="261" width="54.7109375" style="42" customWidth="1"/>
    <col min="262" max="273" width="11.5703125" style="42" customWidth="1"/>
    <col min="274" max="515" width="9.140625" style="42"/>
    <col min="516" max="516" width="5.85546875" style="42" customWidth="1"/>
    <col min="517" max="517" width="54.7109375" style="42" customWidth="1"/>
    <col min="518" max="529" width="11.5703125" style="42" customWidth="1"/>
    <col min="530" max="771" width="9.140625" style="42"/>
    <col min="772" max="772" width="5.85546875" style="42" customWidth="1"/>
    <col min="773" max="773" width="54.7109375" style="42" customWidth="1"/>
    <col min="774" max="785" width="11.5703125" style="42" customWidth="1"/>
    <col min="786" max="1027" width="9.140625" style="42"/>
    <col min="1028" max="1028" width="5.85546875" style="42" customWidth="1"/>
    <col min="1029" max="1029" width="54.7109375" style="42" customWidth="1"/>
    <col min="1030" max="1041" width="11.5703125" style="42" customWidth="1"/>
    <col min="1042" max="1283" width="9.140625" style="42"/>
    <col min="1284" max="1284" width="5.85546875" style="42" customWidth="1"/>
    <col min="1285" max="1285" width="54.7109375" style="42" customWidth="1"/>
    <col min="1286" max="1297" width="11.5703125" style="42" customWidth="1"/>
    <col min="1298" max="1539" width="9.140625" style="42"/>
    <col min="1540" max="1540" width="5.85546875" style="42" customWidth="1"/>
    <col min="1541" max="1541" width="54.7109375" style="42" customWidth="1"/>
    <col min="1542" max="1553" width="11.5703125" style="42" customWidth="1"/>
    <col min="1554" max="1795" width="9.140625" style="42"/>
    <col min="1796" max="1796" width="5.85546875" style="42" customWidth="1"/>
    <col min="1797" max="1797" width="54.7109375" style="42" customWidth="1"/>
    <col min="1798" max="1809" width="11.5703125" style="42" customWidth="1"/>
    <col min="1810" max="2051" width="9.140625" style="42"/>
    <col min="2052" max="2052" width="5.85546875" style="42" customWidth="1"/>
    <col min="2053" max="2053" width="54.7109375" style="42" customWidth="1"/>
    <col min="2054" max="2065" width="11.5703125" style="42" customWidth="1"/>
    <col min="2066" max="2307" width="9.140625" style="42"/>
    <col min="2308" max="2308" width="5.85546875" style="42" customWidth="1"/>
    <col min="2309" max="2309" width="54.7109375" style="42" customWidth="1"/>
    <col min="2310" max="2321" width="11.5703125" style="42" customWidth="1"/>
    <col min="2322" max="2563" width="9.140625" style="42"/>
    <col min="2564" max="2564" width="5.85546875" style="42" customWidth="1"/>
    <col min="2565" max="2565" width="54.7109375" style="42" customWidth="1"/>
    <col min="2566" max="2577" width="11.5703125" style="42" customWidth="1"/>
    <col min="2578" max="2819" width="9.140625" style="42"/>
    <col min="2820" max="2820" width="5.85546875" style="42" customWidth="1"/>
    <col min="2821" max="2821" width="54.7109375" style="42" customWidth="1"/>
    <col min="2822" max="2833" width="11.5703125" style="42" customWidth="1"/>
    <col min="2834" max="3075" width="9.140625" style="42"/>
    <col min="3076" max="3076" width="5.85546875" style="42" customWidth="1"/>
    <col min="3077" max="3077" width="54.7109375" style="42" customWidth="1"/>
    <col min="3078" max="3089" width="11.5703125" style="42" customWidth="1"/>
    <col min="3090" max="3331" width="9.140625" style="42"/>
    <col min="3332" max="3332" width="5.85546875" style="42" customWidth="1"/>
    <col min="3333" max="3333" width="54.7109375" style="42" customWidth="1"/>
    <col min="3334" max="3345" width="11.5703125" style="42" customWidth="1"/>
    <col min="3346" max="3587" width="9.140625" style="42"/>
    <col min="3588" max="3588" width="5.85546875" style="42" customWidth="1"/>
    <col min="3589" max="3589" width="54.7109375" style="42" customWidth="1"/>
    <col min="3590" max="3601" width="11.5703125" style="42" customWidth="1"/>
    <col min="3602" max="3843" width="9.140625" style="42"/>
    <col min="3844" max="3844" width="5.85546875" style="42" customWidth="1"/>
    <col min="3845" max="3845" width="54.7109375" style="42" customWidth="1"/>
    <col min="3846" max="3857" width="11.5703125" style="42" customWidth="1"/>
    <col min="3858" max="4099" width="9.140625" style="42"/>
    <col min="4100" max="4100" width="5.85546875" style="42" customWidth="1"/>
    <col min="4101" max="4101" width="54.7109375" style="42" customWidth="1"/>
    <col min="4102" max="4113" width="11.5703125" style="42" customWidth="1"/>
    <col min="4114" max="4355" width="9.140625" style="42"/>
    <col min="4356" max="4356" width="5.85546875" style="42" customWidth="1"/>
    <col min="4357" max="4357" width="54.7109375" style="42" customWidth="1"/>
    <col min="4358" max="4369" width="11.5703125" style="42" customWidth="1"/>
    <col min="4370" max="4611" width="9.140625" style="42"/>
    <col min="4612" max="4612" width="5.85546875" style="42" customWidth="1"/>
    <col min="4613" max="4613" width="54.7109375" style="42" customWidth="1"/>
    <col min="4614" max="4625" width="11.5703125" style="42" customWidth="1"/>
    <col min="4626" max="4867" width="9.140625" style="42"/>
    <col min="4868" max="4868" width="5.85546875" style="42" customWidth="1"/>
    <col min="4869" max="4869" width="54.7109375" style="42" customWidth="1"/>
    <col min="4870" max="4881" width="11.5703125" style="42" customWidth="1"/>
    <col min="4882" max="5123" width="9.140625" style="42"/>
    <col min="5124" max="5124" width="5.85546875" style="42" customWidth="1"/>
    <col min="5125" max="5125" width="54.7109375" style="42" customWidth="1"/>
    <col min="5126" max="5137" width="11.5703125" style="42" customWidth="1"/>
    <col min="5138" max="5379" width="9.140625" style="42"/>
    <col min="5380" max="5380" width="5.85546875" style="42" customWidth="1"/>
    <col min="5381" max="5381" width="54.7109375" style="42" customWidth="1"/>
    <col min="5382" max="5393" width="11.5703125" style="42" customWidth="1"/>
    <col min="5394" max="5635" width="9.140625" style="42"/>
    <col min="5636" max="5636" width="5.85546875" style="42" customWidth="1"/>
    <col min="5637" max="5637" width="54.7109375" style="42" customWidth="1"/>
    <col min="5638" max="5649" width="11.5703125" style="42" customWidth="1"/>
    <col min="5650" max="5891" width="9.140625" style="42"/>
    <col min="5892" max="5892" width="5.85546875" style="42" customWidth="1"/>
    <col min="5893" max="5893" width="54.7109375" style="42" customWidth="1"/>
    <col min="5894" max="5905" width="11.5703125" style="42" customWidth="1"/>
    <col min="5906" max="6147" width="9.140625" style="42"/>
    <col min="6148" max="6148" width="5.85546875" style="42" customWidth="1"/>
    <col min="6149" max="6149" width="54.7109375" style="42" customWidth="1"/>
    <col min="6150" max="6161" width="11.5703125" style="42" customWidth="1"/>
    <col min="6162" max="6403" width="9.140625" style="42"/>
    <col min="6404" max="6404" width="5.85546875" style="42" customWidth="1"/>
    <col min="6405" max="6405" width="54.7109375" style="42" customWidth="1"/>
    <col min="6406" max="6417" width="11.5703125" style="42" customWidth="1"/>
    <col min="6418" max="6659" width="9.140625" style="42"/>
    <col min="6660" max="6660" width="5.85546875" style="42" customWidth="1"/>
    <col min="6661" max="6661" width="54.7109375" style="42" customWidth="1"/>
    <col min="6662" max="6673" width="11.5703125" style="42" customWidth="1"/>
    <col min="6674" max="6915" width="9.140625" style="42"/>
    <col min="6916" max="6916" width="5.85546875" style="42" customWidth="1"/>
    <col min="6917" max="6917" width="54.7109375" style="42" customWidth="1"/>
    <col min="6918" max="6929" width="11.5703125" style="42" customWidth="1"/>
    <col min="6930" max="7171" width="9.140625" style="42"/>
    <col min="7172" max="7172" width="5.85546875" style="42" customWidth="1"/>
    <col min="7173" max="7173" width="54.7109375" style="42" customWidth="1"/>
    <col min="7174" max="7185" width="11.5703125" style="42" customWidth="1"/>
    <col min="7186" max="7427" width="9.140625" style="42"/>
    <col min="7428" max="7428" width="5.85546875" style="42" customWidth="1"/>
    <col min="7429" max="7429" width="54.7109375" style="42" customWidth="1"/>
    <col min="7430" max="7441" width="11.5703125" style="42" customWidth="1"/>
    <col min="7442" max="7683" width="9.140625" style="42"/>
    <col min="7684" max="7684" width="5.85546875" style="42" customWidth="1"/>
    <col min="7685" max="7685" width="54.7109375" style="42" customWidth="1"/>
    <col min="7686" max="7697" width="11.5703125" style="42" customWidth="1"/>
    <col min="7698" max="7939" width="9.140625" style="42"/>
    <col min="7940" max="7940" width="5.85546875" style="42" customWidth="1"/>
    <col min="7941" max="7941" width="54.7109375" style="42" customWidth="1"/>
    <col min="7942" max="7953" width="11.5703125" style="42" customWidth="1"/>
    <col min="7954" max="8195" width="9.140625" style="42"/>
    <col min="8196" max="8196" width="5.85546875" style="42" customWidth="1"/>
    <col min="8197" max="8197" width="54.7109375" style="42" customWidth="1"/>
    <col min="8198" max="8209" width="11.5703125" style="42" customWidth="1"/>
    <col min="8210" max="8451" width="9.140625" style="42"/>
    <col min="8452" max="8452" width="5.85546875" style="42" customWidth="1"/>
    <col min="8453" max="8453" width="54.7109375" style="42" customWidth="1"/>
    <col min="8454" max="8465" width="11.5703125" style="42" customWidth="1"/>
    <col min="8466" max="8707" width="9.140625" style="42"/>
    <col min="8708" max="8708" width="5.85546875" style="42" customWidth="1"/>
    <col min="8709" max="8709" width="54.7109375" style="42" customWidth="1"/>
    <col min="8710" max="8721" width="11.5703125" style="42" customWidth="1"/>
    <col min="8722" max="8963" width="9.140625" style="42"/>
    <col min="8964" max="8964" width="5.85546875" style="42" customWidth="1"/>
    <col min="8965" max="8965" width="54.7109375" style="42" customWidth="1"/>
    <col min="8966" max="8977" width="11.5703125" style="42" customWidth="1"/>
    <col min="8978" max="9219" width="9.140625" style="42"/>
    <col min="9220" max="9220" width="5.85546875" style="42" customWidth="1"/>
    <col min="9221" max="9221" width="54.7109375" style="42" customWidth="1"/>
    <col min="9222" max="9233" width="11.5703125" style="42" customWidth="1"/>
    <col min="9234" max="9475" width="9.140625" style="42"/>
    <col min="9476" max="9476" width="5.85546875" style="42" customWidth="1"/>
    <col min="9477" max="9477" width="54.7109375" style="42" customWidth="1"/>
    <col min="9478" max="9489" width="11.5703125" style="42" customWidth="1"/>
    <col min="9490" max="9731" width="9.140625" style="42"/>
    <col min="9732" max="9732" width="5.85546875" style="42" customWidth="1"/>
    <col min="9733" max="9733" width="54.7109375" style="42" customWidth="1"/>
    <col min="9734" max="9745" width="11.5703125" style="42" customWidth="1"/>
    <col min="9746" max="9987" width="9.140625" style="42"/>
    <col min="9988" max="9988" width="5.85546875" style="42" customWidth="1"/>
    <col min="9989" max="9989" width="54.7109375" style="42" customWidth="1"/>
    <col min="9990" max="10001" width="11.5703125" style="42" customWidth="1"/>
    <col min="10002" max="10243" width="9.140625" style="42"/>
    <col min="10244" max="10244" width="5.85546875" style="42" customWidth="1"/>
    <col min="10245" max="10245" width="54.7109375" style="42" customWidth="1"/>
    <col min="10246" max="10257" width="11.5703125" style="42" customWidth="1"/>
    <col min="10258" max="10499" width="9.140625" style="42"/>
    <col min="10500" max="10500" width="5.85546875" style="42" customWidth="1"/>
    <col min="10501" max="10501" width="54.7109375" style="42" customWidth="1"/>
    <col min="10502" max="10513" width="11.5703125" style="42" customWidth="1"/>
    <col min="10514" max="10755" width="9.140625" style="42"/>
    <col min="10756" max="10756" width="5.85546875" style="42" customWidth="1"/>
    <col min="10757" max="10757" width="54.7109375" style="42" customWidth="1"/>
    <col min="10758" max="10769" width="11.5703125" style="42" customWidth="1"/>
    <col min="10770" max="11011" width="9.140625" style="42"/>
    <col min="11012" max="11012" width="5.85546875" style="42" customWidth="1"/>
    <col min="11013" max="11013" width="54.7109375" style="42" customWidth="1"/>
    <col min="11014" max="11025" width="11.5703125" style="42" customWidth="1"/>
    <col min="11026" max="11267" width="9.140625" style="42"/>
    <col min="11268" max="11268" width="5.85546875" style="42" customWidth="1"/>
    <col min="11269" max="11269" width="54.7109375" style="42" customWidth="1"/>
    <col min="11270" max="11281" width="11.5703125" style="42" customWidth="1"/>
    <col min="11282" max="11523" width="9.140625" style="42"/>
    <col min="11524" max="11524" width="5.85546875" style="42" customWidth="1"/>
    <col min="11525" max="11525" width="54.7109375" style="42" customWidth="1"/>
    <col min="11526" max="11537" width="11.5703125" style="42" customWidth="1"/>
    <col min="11538" max="11779" width="9.140625" style="42"/>
    <col min="11780" max="11780" width="5.85546875" style="42" customWidth="1"/>
    <col min="11781" max="11781" width="54.7109375" style="42" customWidth="1"/>
    <col min="11782" max="11793" width="11.5703125" style="42" customWidth="1"/>
    <col min="11794" max="12035" width="9.140625" style="42"/>
    <col min="12036" max="12036" width="5.85546875" style="42" customWidth="1"/>
    <col min="12037" max="12037" width="54.7109375" style="42" customWidth="1"/>
    <col min="12038" max="12049" width="11.5703125" style="42" customWidth="1"/>
    <col min="12050" max="12291" width="9.140625" style="42"/>
    <col min="12292" max="12292" width="5.85546875" style="42" customWidth="1"/>
    <col min="12293" max="12293" width="54.7109375" style="42" customWidth="1"/>
    <col min="12294" max="12305" width="11.5703125" style="42" customWidth="1"/>
    <col min="12306" max="12547" width="9.140625" style="42"/>
    <col min="12548" max="12548" width="5.85546875" style="42" customWidth="1"/>
    <col min="12549" max="12549" width="54.7109375" style="42" customWidth="1"/>
    <col min="12550" max="12561" width="11.5703125" style="42" customWidth="1"/>
    <col min="12562" max="12803" width="9.140625" style="42"/>
    <col min="12804" max="12804" width="5.85546875" style="42" customWidth="1"/>
    <col min="12805" max="12805" width="54.7109375" style="42" customWidth="1"/>
    <col min="12806" max="12817" width="11.5703125" style="42" customWidth="1"/>
    <col min="12818" max="13059" width="9.140625" style="42"/>
    <col min="13060" max="13060" width="5.85546875" style="42" customWidth="1"/>
    <col min="13061" max="13061" width="54.7109375" style="42" customWidth="1"/>
    <col min="13062" max="13073" width="11.5703125" style="42" customWidth="1"/>
    <col min="13074" max="13315" width="9.140625" style="42"/>
    <col min="13316" max="13316" width="5.85546875" style="42" customWidth="1"/>
    <col min="13317" max="13317" width="54.7109375" style="42" customWidth="1"/>
    <col min="13318" max="13329" width="11.5703125" style="42" customWidth="1"/>
    <col min="13330" max="13571" width="9.140625" style="42"/>
    <col min="13572" max="13572" width="5.85546875" style="42" customWidth="1"/>
    <col min="13573" max="13573" width="54.7109375" style="42" customWidth="1"/>
    <col min="13574" max="13585" width="11.5703125" style="42" customWidth="1"/>
    <col min="13586" max="13827" width="9.140625" style="42"/>
    <col min="13828" max="13828" width="5.85546875" style="42" customWidth="1"/>
    <col min="13829" max="13829" width="54.7109375" style="42" customWidth="1"/>
    <col min="13830" max="13841" width="11.5703125" style="42" customWidth="1"/>
    <col min="13842" max="14083" width="9.140625" style="42"/>
    <col min="14084" max="14084" width="5.85546875" style="42" customWidth="1"/>
    <col min="14085" max="14085" width="54.7109375" style="42" customWidth="1"/>
    <col min="14086" max="14097" width="11.5703125" style="42" customWidth="1"/>
    <col min="14098" max="14339" width="9.140625" style="42"/>
    <col min="14340" max="14340" width="5.85546875" style="42" customWidth="1"/>
    <col min="14341" max="14341" width="54.7109375" style="42" customWidth="1"/>
    <col min="14342" max="14353" width="11.5703125" style="42" customWidth="1"/>
    <col min="14354" max="14595" width="9.140625" style="42"/>
    <col min="14596" max="14596" width="5.85546875" style="42" customWidth="1"/>
    <col min="14597" max="14597" width="54.7109375" style="42" customWidth="1"/>
    <col min="14598" max="14609" width="11.5703125" style="42" customWidth="1"/>
    <col min="14610" max="14851" width="9.140625" style="42"/>
    <col min="14852" max="14852" width="5.85546875" style="42" customWidth="1"/>
    <col min="14853" max="14853" width="54.7109375" style="42" customWidth="1"/>
    <col min="14854" max="14865" width="11.5703125" style="42" customWidth="1"/>
    <col min="14866" max="15107" width="9.140625" style="42"/>
    <col min="15108" max="15108" width="5.85546875" style="42" customWidth="1"/>
    <col min="15109" max="15109" width="54.7109375" style="42" customWidth="1"/>
    <col min="15110" max="15121" width="11.5703125" style="42" customWidth="1"/>
    <col min="15122" max="15363" width="9.140625" style="42"/>
    <col min="15364" max="15364" width="5.85546875" style="42" customWidth="1"/>
    <col min="15365" max="15365" width="54.7109375" style="42" customWidth="1"/>
    <col min="15366" max="15377" width="11.5703125" style="42" customWidth="1"/>
    <col min="15378" max="15619" width="9.140625" style="42"/>
    <col min="15620" max="15620" width="5.85546875" style="42" customWidth="1"/>
    <col min="15621" max="15621" width="54.7109375" style="42" customWidth="1"/>
    <col min="15622" max="15633" width="11.5703125" style="42" customWidth="1"/>
    <col min="15634" max="15875" width="9.140625" style="42"/>
    <col min="15876" max="15876" width="5.85546875" style="42" customWidth="1"/>
    <col min="15877" max="15877" width="54.7109375" style="42" customWidth="1"/>
    <col min="15878" max="15889" width="11.5703125" style="42" customWidth="1"/>
    <col min="15890" max="16131" width="9.140625" style="42"/>
    <col min="16132" max="16132" width="5.85546875" style="42" customWidth="1"/>
    <col min="16133" max="16133" width="54.7109375" style="42" customWidth="1"/>
    <col min="16134" max="16145" width="11.5703125" style="42" customWidth="1"/>
    <col min="16146" max="16384" width="9.140625" style="42"/>
  </cols>
  <sheetData>
    <row r="1" spans="1:19" ht="21" customHeight="1">
      <c r="A1" s="40"/>
      <c r="B1" s="68"/>
      <c r="C1" s="69"/>
      <c r="D1" s="69"/>
      <c r="E1" s="69"/>
      <c r="F1" s="69"/>
      <c r="G1" s="70"/>
      <c r="H1" s="70"/>
      <c r="I1" s="69"/>
      <c r="J1" s="69"/>
      <c r="K1" s="69"/>
      <c r="L1" s="71"/>
      <c r="M1" s="71"/>
      <c r="N1" s="71"/>
      <c r="O1" s="71"/>
      <c r="P1" s="71"/>
      <c r="Q1" s="41" t="s">
        <v>316</v>
      </c>
    </row>
    <row r="2" spans="1:19" ht="21" customHeight="1">
      <c r="A2" s="1022" t="s">
        <v>1116</v>
      </c>
      <c r="B2" s="1022"/>
      <c r="C2" s="1022"/>
      <c r="D2" s="1022"/>
      <c r="E2" s="1022"/>
      <c r="F2" s="1022"/>
      <c r="G2" s="1022"/>
      <c r="H2" s="1022"/>
      <c r="I2" s="1022"/>
      <c r="J2" s="1022"/>
      <c r="K2" s="1022"/>
      <c r="L2" s="1022"/>
      <c r="M2" s="1022"/>
      <c r="N2" s="1022"/>
      <c r="O2" s="1022"/>
      <c r="P2" s="1022"/>
      <c r="Q2" s="1022"/>
    </row>
    <row r="3" spans="1:19" s="3" customFormat="1" ht="18" customHeight="1">
      <c r="A3" s="1184" t="s">
        <v>1210</v>
      </c>
      <c r="B3" s="1184"/>
      <c r="C3" s="1184"/>
      <c r="D3" s="1184"/>
      <c r="E3" s="1184"/>
      <c r="F3" s="1184"/>
      <c r="G3" s="1184"/>
      <c r="H3" s="1184"/>
      <c r="I3" s="1184"/>
      <c r="J3" s="1184"/>
      <c r="K3" s="1184"/>
      <c r="L3" s="1184"/>
      <c r="M3" s="1184"/>
      <c r="N3" s="1184"/>
      <c r="O3" s="1184"/>
      <c r="P3" s="1184"/>
      <c r="Q3" s="1184"/>
      <c r="R3" s="72"/>
      <c r="S3" s="72"/>
    </row>
    <row r="4" spans="1:19" s="3" customFormat="1" ht="19.5" customHeight="1">
      <c r="A4" s="4"/>
      <c r="B4" s="73"/>
      <c r="C4" s="73"/>
      <c r="D4" s="5"/>
      <c r="E4" s="5"/>
      <c r="F4" s="5"/>
      <c r="G4" s="5"/>
      <c r="H4" s="74"/>
      <c r="I4" s="74"/>
      <c r="J4" s="74"/>
      <c r="K4" s="74"/>
      <c r="L4" s="74"/>
      <c r="M4" s="74"/>
      <c r="N4" s="74"/>
      <c r="O4" s="6" t="s">
        <v>2</v>
      </c>
      <c r="P4" s="74"/>
      <c r="Q4" s="74"/>
      <c r="R4" s="74"/>
    </row>
    <row r="5" spans="1:19" s="45" customFormat="1" ht="40.5" customHeight="1">
      <c r="A5" s="1070" t="s">
        <v>3</v>
      </c>
      <c r="B5" s="1063" t="s">
        <v>88</v>
      </c>
      <c r="C5" s="1069" t="s">
        <v>89</v>
      </c>
      <c r="D5" s="1070" t="s">
        <v>90</v>
      </c>
      <c r="E5" s="1070" t="s">
        <v>91</v>
      </c>
      <c r="F5" s="1070" t="s">
        <v>92</v>
      </c>
      <c r="G5" s="1070" t="s">
        <v>93</v>
      </c>
      <c r="H5" s="1070" t="s">
        <v>94</v>
      </c>
      <c r="I5" s="1070" t="s">
        <v>95</v>
      </c>
      <c r="J5" s="1063" t="s">
        <v>74</v>
      </c>
      <c r="K5" s="1069" t="s">
        <v>96</v>
      </c>
      <c r="L5" s="1069"/>
      <c r="M5" s="1069"/>
      <c r="N5" s="1063" t="s">
        <v>97</v>
      </c>
      <c r="O5" s="1070" t="s">
        <v>40</v>
      </c>
      <c r="P5" s="1070"/>
      <c r="Q5" s="1070" t="s">
        <v>317</v>
      </c>
    </row>
    <row r="6" spans="1:19" s="45" customFormat="1" ht="40.5" customHeight="1">
      <c r="A6" s="1069"/>
      <c r="B6" s="1064"/>
      <c r="C6" s="1069"/>
      <c r="D6" s="1070"/>
      <c r="E6" s="1070"/>
      <c r="F6" s="1070"/>
      <c r="G6" s="1070"/>
      <c r="H6" s="1070"/>
      <c r="I6" s="1070"/>
      <c r="J6" s="1064"/>
      <c r="K6" s="1069" t="s">
        <v>89</v>
      </c>
      <c r="L6" s="1070" t="s">
        <v>99</v>
      </c>
      <c r="M6" s="1070" t="s">
        <v>63</v>
      </c>
      <c r="N6" s="1064"/>
      <c r="O6" s="1070" t="s">
        <v>100</v>
      </c>
      <c r="P6" s="1070" t="s">
        <v>101</v>
      </c>
      <c r="Q6" s="1070"/>
    </row>
    <row r="7" spans="1:19" s="45" customFormat="1" ht="40.5" customHeight="1">
      <c r="A7" s="1069"/>
      <c r="B7" s="1064"/>
      <c r="C7" s="1069"/>
      <c r="D7" s="1070"/>
      <c r="E7" s="1070"/>
      <c r="F7" s="1070"/>
      <c r="G7" s="1070"/>
      <c r="H7" s="1070"/>
      <c r="I7" s="1070"/>
      <c r="J7" s="1064"/>
      <c r="K7" s="1069"/>
      <c r="L7" s="1070"/>
      <c r="M7" s="1070"/>
      <c r="N7" s="1064"/>
      <c r="O7" s="1070"/>
      <c r="P7" s="1070"/>
      <c r="Q7" s="1070"/>
    </row>
    <row r="8" spans="1:19" s="45" customFormat="1" ht="40.5" customHeight="1">
      <c r="A8" s="1069"/>
      <c r="B8" s="1065"/>
      <c r="C8" s="1069"/>
      <c r="D8" s="1070"/>
      <c r="E8" s="1070"/>
      <c r="F8" s="1070"/>
      <c r="G8" s="1070"/>
      <c r="H8" s="1070"/>
      <c r="I8" s="1070"/>
      <c r="J8" s="1065"/>
      <c r="K8" s="1069"/>
      <c r="L8" s="1070"/>
      <c r="M8" s="1070"/>
      <c r="N8" s="1065"/>
      <c r="O8" s="1070"/>
      <c r="P8" s="1070"/>
      <c r="Q8" s="1070"/>
    </row>
    <row r="9" spans="1:19" s="47" customFormat="1" ht="17.25" customHeight="1">
      <c r="A9" s="46" t="s">
        <v>10</v>
      </c>
      <c r="B9" s="75" t="s">
        <v>11</v>
      </c>
      <c r="C9" s="46">
        <v>1</v>
      </c>
      <c r="D9" s="76">
        <f>C9+1</f>
        <v>2</v>
      </c>
      <c r="E9" s="76">
        <f t="shared" ref="E9:G9" si="0">D9+1</f>
        <v>3</v>
      </c>
      <c r="F9" s="76">
        <f t="shared" si="0"/>
        <v>4</v>
      </c>
      <c r="G9" s="76">
        <f t="shared" si="0"/>
        <v>5</v>
      </c>
      <c r="H9" s="76">
        <f>G9+1</f>
        <v>6</v>
      </c>
      <c r="I9" s="76">
        <f>H9+1</f>
        <v>7</v>
      </c>
      <c r="J9" s="76">
        <f t="shared" ref="J9:Q9" si="1">I9+1</f>
        <v>8</v>
      </c>
      <c r="K9" s="76">
        <f t="shared" si="1"/>
        <v>9</v>
      </c>
      <c r="L9" s="76">
        <f t="shared" si="1"/>
        <v>10</v>
      </c>
      <c r="M9" s="76">
        <f t="shared" si="1"/>
        <v>11</v>
      </c>
      <c r="N9" s="76">
        <f t="shared" si="1"/>
        <v>12</v>
      </c>
      <c r="O9" s="76">
        <f t="shared" si="1"/>
        <v>13</v>
      </c>
      <c r="P9" s="76">
        <f t="shared" si="1"/>
        <v>14</v>
      </c>
      <c r="Q9" s="76">
        <f t="shared" si="1"/>
        <v>15</v>
      </c>
    </row>
    <row r="10" spans="1:19" s="36" customFormat="1" ht="18.75">
      <c r="A10" s="37"/>
      <c r="B10" s="77" t="s">
        <v>102</v>
      </c>
      <c r="C10" s="78">
        <f t="shared" ref="C10:Q10" si="2">C11+C122+C123</f>
        <v>6544081</v>
      </c>
      <c r="D10" s="78">
        <f t="shared" si="2"/>
        <v>426424</v>
      </c>
      <c r="E10" s="78">
        <f t="shared" si="2"/>
        <v>1993571</v>
      </c>
      <c r="F10" s="78">
        <f t="shared" si="2"/>
        <v>2300</v>
      </c>
      <c r="G10" s="78">
        <f t="shared" si="2"/>
        <v>1000</v>
      </c>
      <c r="H10" s="78">
        <f t="shared" si="2"/>
        <v>91629.42</v>
      </c>
      <c r="I10" s="78">
        <f t="shared" si="2"/>
        <v>1475724.58</v>
      </c>
      <c r="J10" s="78">
        <f t="shared" si="2"/>
        <v>7400</v>
      </c>
      <c r="K10" s="78">
        <f t="shared" si="2"/>
        <v>657402</v>
      </c>
      <c r="L10" s="78">
        <f t="shared" si="2"/>
        <v>628823</v>
      </c>
      <c r="M10" s="78">
        <f t="shared" si="2"/>
        <v>28579</v>
      </c>
      <c r="N10" s="78">
        <f t="shared" si="2"/>
        <v>1297777</v>
      </c>
      <c r="O10" s="78">
        <f t="shared" si="2"/>
        <v>824064</v>
      </c>
      <c r="P10" s="78">
        <f t="shared" si="2"/>
        <v>473713</v>
      </c>
      <c r="Q10" s="78">
        <f t="shared" si="2"/>
        <v>590853</v>
      </c>
    </row>
    <row r="11" spans="1:19" s="36" customFormat="1" ht="37.5">
      <c r="A11" s="37" t="s">
        <v>10</v>
      </c>
      <c r="B11" s="79" t="s">
        <v>103</v>
      </c>
      <c r="C11" s="78">
        <f t="shared" ref="C11:Q11" si="3">C12+C121</f>
        <v>3998049</v>
      </c>
      <c r="D11" s="78">
        <f t="shared" si="3"/>
        <v>426424</v>
      </c>
      <c r="E11" s="78">
        <f t="shared" si="3"/>
        <v>1993571</v>
      </c>
      <c r="F11" s="78">
        <f t="shared" si="3"/>
        <v>2300</v>
      </c>
      <c r="G11" s="78">
        <f t="shared" si="3"/>
        <v>1000</v>
      </c>
      <c r="H11" s="78">
        <f t="shared" si="3"/>
        <v>91629.42</v>
      </c>
      <c r="I11" s="78">
        <f t="shared" si="3"/>
        <v>1475724.58</v>
      </c>
      <c r="J11" s="78">
        <f t="shared" si="3"/>
        <v>7400</v>
      </c>
      <c r="K11" s="78">
        <f t="shared" si="3"/>
        <v>0</v>
      </c>
      <c r="L11" s="78">
        <f t="shared" si="3"/>
        <v>0</v>
      </c>
      <c r="M11" s="78">
        <f t="shared" si="3"/>
        <v>0</v>
      </c>
      <c r="N11" s="78">
        <f t="shared" si="3"/>
        <v>0</v>
      </c>
      <c r="O11" s="78">
        <f t="shared" si="3"/>
        <v>0</v>
      </c>
      <c r="P11" s="78">
        <f t="shared" si="3"/>
        <v>0</v>
      </c>
      <c r="Q11" s="78">
        <f t="shared" si="3"/>
        <v>0</v>
      </c>
    </row>
    <row r="12" spans="1:19" s="36" customFormat="1" ht="18.75">
      <c r="A12" s="37" t="s">
        <v>104</v>
      </c>
      <c r="B12" s="79" t="s">
        <v>105</v>
      </c>
      <c r="C12" s="78">
        <f>C13+C117+C118+C119+C120</f>
        <v>3990649</v>
      </c>
      <c r="D12" s="78">
        <f t="shared" ref="D12:Q12" si="4">D13+D117+D118+D119+D120</f>
        <v>426424</v>
      </c>
      <c r="E12" s="78">
        <f t="shared" si="4"/>
        <v>1993571</v>
      </c>
      <c r="F12" s="78">
        <f t="shared" si="4"/>
        <v>2300</v>
      </c>
      <c r="G12" s="78">
        <f t="shared" si="4"/>
        <v>1000</v>
      </c>
      <c r="H12" s="78">
        <f t="shared" si="4"/>
        <v>91629.42</v>
      </c>
      <c r="I12" s="78">
        <f t="shared" si="4"/>
        <v>1475724.58</v>
      </c>
      <c r="J12" s="78">
        <f t="shared" si="4"/>
        <v>0</v>
      </c>
      <c r="K12" s="78">
        <f t="shared" si="4"/>
        <v>0</v>
      </c>
      <c r="L12" s="78">
        <f t="shared" si="4"/>
        <v>0</v>
      </c>
      <c r="M12" s="78">
        <f t="shared" si="4"/>
        <v>0</v>
      </c>
      <c r="N12" s="78">
        <f t="shared" si="4"/>
        <v>0</v>
      </c>
      <c r="O12" s="78">
        <f t="shared" si="4"/>
        <v>0</v>
      </c>
      <c r="P12" s="78">
        <f t="shared" si="4"/>
        <v>0</v>
      </c>
      <c r="Q12" s="78">
        <f t="shared" si="4"/>
        <v>0</v>
      </c>
    </row>
    <row r="13" spans="1:19" s="36" customFormat="1" ht="18.75">
      <c r="A13" s="37" t="s">
        <v>15</v>
      </c>
      <c r="B13" s="79" t="s">
        <v>106</v>
      </c>
      <c r="C13" s="78">
        <f>C14+C32+C51+C104+C106+C116</f>
        <v>2419995</v>
      </c>
      <c r="D13" s="78">
        <f t="shared" ref="D13:Q13" si="5">D14+D32+D51+D104+D106+D116</f>
        <v>426424</v>
      </c>
      <c r="E13" s="78">
        <f t="shared" si="5"/>
        <v>1993571</v>
      </c>
      <c r="F13" s="78">
        <f t="shared" si="5"/>
        <v>0</v>
      </c>
      <c r="G13" s="78">
        <f t="shared" si="5"/>
        <v>0</v>
      </c>
      <c r="H13" s="78">
        <f t="shared" si="5"/>
        <v>0</v>
      </c>
      <c r="I13" s="78">
        <f t="shared" si="5"/>
        <v>0</v>
      </c>
      <c r="J13" s="78">
        <f t="shared" si="5"/>
        <v>0</v>
      </c>
      <c r="K13" s="78">
        <f t="shared" si="5"/>
        <v>0</v>
      </c>
      <c r="L13" s="78">
        <f t="shared" si="5"/>
        <v>0</v>
      </c>
      <c r="M13" s="78">
        <f t="shared" si="5"/>
        <v>0</v>
      </c>
      <c r="N13" s="78">
        <f t="shared" si="5"/>
        <v>0</v>
      </c>
      <c r="O13" s="78">
        <f t="shared" si="5"/>
        <v>0</v>
      </c>
      <c r="P13" s="78">
        <f t="shared" si="5"/>
        <v>0</v>
      </c>
      <c r="Q13" s="78">
        <f t="shared" si="5"/>
        <v>0</v>
      </c>
    </row>
    <row r="14" spans="1:19" s="35" customFormat="1" ht="18.75">
      <c r="A14" s="38">
        <v>1</v>
      </c>
      <c r="B14" s="39" t="s">
        <v>107</v>
      </c>
      <c r="C14" s="24">
        <f t="shared" ref="C14:I14" si="6">SUM(C15:C31)</f>
        <v>1744610.7745070094</v>
      </c>
      <c r="D14" s="24">
        <f t="shared" si="6"/>
        <v>169900</v>
      </c>
      <c r="E14" s="24">
        <f t="shared" si="6"/>
        <v>1574710.7745070094</v>
      </c>
      <c r="F14" s="24">
        <f t="shared" si="6"/>
        <v>0</v>
      </c>
      <c r="G14" s="24">
        <f t="shared" si="6"/>
        <v>0</v>
      </c>
      <c r="H14" s="24">
        <f t="shared" si="6"/>
        <v>0</v>
      </c>
      <c r="I14" s="24">
        <f t="shared" si="6"/>
        <v>0</v>
      </c>
      <c r="J14" s="24"/>
      <c r="K14" s="24">
        <f>SUM(K15:K31)</f>
        <v>0</v>
      </c>
      <c r="L14" s="24">
        <f>SUM(L15:L31)</f>
        <v>0</v>
      </c>
      <c r="M14" s="24">
        <f>SUM(M15:M31)</f>
        <v>0</v>
      </c>
      <c r="N14" s="24">
        <f>SUM(N15:N31)</f>
        <v>0</v>
      </c>
      <c r="O14" s="24"/>
      <c r="P14" s="24"/>
      <c r="Q14" s="24">
        <f>SUM(Q15:Q31)</f>
        <v>0</v>
      </c>
    </row>
    <row r="15" spans="1:19" s="36" customFormat="1" ht="18.75">
      <c r="A15" s="27" t="s">
        <v>108</v>
      </c>
      <c r="B15" s="28" t="s">
        <v>109</v>
      </c>
      <c r="C15" s="80">
        <f t="shared" ref="C15:C78" si="7">D15+E15+F15+G15+H15+I15+J15+K15+N15+Q15</f>
        <v>205643</v>
      </c>
      <c r="D15" s="26">
        <f>PL36_TCDT!C12</f>
        <v>18000</v>
      </c>
      <c r="E15" s="26">
        <f>'PL37'!D13</f>
        <v>187643</v>
      </c>
      <c r="F15" s="26"/>
      <c r="G15" s="26"/>
      <c r="H15" s="26"/>
      <c r="I15" s="26"/>
      <c r="J15" s="26"/>
      <c r="K15" s="26"/>
      <c r="L15" s="26"/>
      <c r="M15" s="26"/>
      <c r="N15" s="26"/>
      <c r="O15" s="26"/>
      <c r="P15" s="26"/>
      <c r="Q15" s="26"/>
    </row>
    <row r="16" spans="1:19" s="36" customFormat="1" ht="18.75">
      <c r="A16" s="27" t="s">
        <v>110</v>
      </c>
      <c r="B16" s="28" t="s">
        <v>112</v>
      </c>
      <c r="C16" s="80">
        <f t="shared" si="7"/>
        <v>37211</v>
      </c>
      <c r="D16" s="26"/>
      <c r="E16" s="26">
        <f>'PL37'!D14</f>
        <v>37211</v>
      </c>
      <c r="F16" s="26"/>
      <c r="G16" s="26"/>
      <c r="H16" s="26"/>
      <c r="I16" s="26"/>
      <c r="J16" s="26"/>
      <c r="K16" s="26"/>
      <c r="L16" s="26"/>
      <c r="M16" s="26"/>
      <c r="N16" s="26"/>
      <c r="O16" s="26"/>
      <c r="P16" s="26"/>
      <c r="Q16" s="26"/>
    </row>
    <row r="17" spans="1:17" s="36" customFormat="1" ht="18.75">
      <c r="A17" s="27" t="s">
        <v>111</v>
      </c>
      <c r="B17" s="28" t="s">
        <v>114</v>
      </c>
      <c r="C17" s="80">
        <f t="shared" si="7"/>
        <v>583</v>
      </c>
      <c r="D17" s="26"/>
      <c r="E17" s="26">
        <f>'PL37'!D15</f>
        <v>583</v>
      </c>
      <c r="F17" s="26"/>
      <c r="G17" s="26"/>
      <c r="H17" s="26"/>
      <c r="I17" s="26"/>
      <c r="J17" s="26"/>
      <c r="K17" s="26"/>
      <c r="L17" s="26"/>
      <c r="M17" s="26"/>
      <c r="N17" s="26"/>
      <c r="O17" s="26"/>
      <c r="P17" s="26"/>
      <c r="Q17" s="26"/>
    </row>
    <row r="18" spans="1:17" s="36" customFormat="1" ht="18.75">
      <c r="A18" s="27" t="s">
        <v>113</v>
      </c>
      <c r="B18" s="28" t="s">
        <v>116</v>
      </c>
      <c r="C18" s="80">
        <f t="shared" si="7"/>
        <v>12537</v>
      </c>
      <c r="D18" s="26"/>
      <c r="E18" s="26">
        <f>'PL37'!D16</f>
        <v>12537</v>
      </c>
      <c r="F18" s="26"/>
      <c r="G18" s="26"/>
      <c r="H18" s="26"/>
      <c r="I18" s="26"/>
      <c r="J18" s="26"/>
      <c r="K18" s="26"/>
      <c r="L18" s="26"/>
      <c r="M18" s="26"/>
      <c r="N18" s="26"/>
      <c r="O18" s="26"/>
      <c r="P18" s="26"/>
      <c r="Q18" s="26"/>
    </row>
    <row r="19" spans="1:17" s="36" customFormat="1" ht="18.75">
      <c r="A19" s="27" t="s">
        <v>115</v>
      </c>
      <c r="B19" s="28" t="s">
        <v>118</v>
      </c>
      <c r="C19" s="80">
        <f t="shared" si="7"/>
        <v>31656</v>
      </c>
      <c r="D19" s="26">
        <f>PL36_TCDT!C15</f>
        <v>0</v>
      </c>
      <c r="E19" s="26">
        <f>'PL37'!D17</f>
        <v>31656</v>
      </c>
      <c r="F19" s="26"/>
      <c r="G19" s="26"/>
      <c r="H19" s="26"/>
      <c r="I19" s="26"/>
      <c r="J19" s="26"/>
      <c r="K19" s="26"/>
      <c r="L19" s="26"/>
      <c r="M19" s="26"/>
      <c r="N19" s="26"/>
      <c r="O19" s="26"/>
      <c r="P19" s="26"/>
      <c r="Q19" s="26"/>
    </row>
    <row r="20" spans="1:17" s="36" customFormat="1" ht="18.75">
      <c r="A20" s="27" t="s">
        <v>117</v>
      </c>
      <c r="B20" s="28" t="s">
        <v>120</v>
      </c>
      <c r="C20" s="80">
        <f t="shared" si="7"/>
        <v>12913</v>
      </c>
      <c r="D20" s="26"/>
      <c r="E20" s="26">
        <f>'PL37'!D18</f>
        <v>12913</v>
      </c>
      <c r="F20" s="26"/>
      <c r="G20" s="26"/>
      <c r="H20" s="26"/>
      <c r="I20" s="26"/>
      <c r="J20" s="26"/>
      <c r="K20" s="26"/>
      <c r="L20" s="26"/>
      <c r="M20" s="26"/>
      <c r="N20" s="26"/>
      <c r="O20" s="26"/>
      <c r="P20" s="26"/>
      <c r="Q20" s="26"/>
    </row>
    <row r="21" spans="1:17" s="36" customFormat="1" ht="18.75">
      <c r="A21" s="27" t="s">
        <v>119</v>
      </c>
      <c r="B21" s="28" t="s">
        <v>122</v>
      </c>
      <c r="C21" s="80">
        <f t="shared" si="7"/>
        <v>614245.77450700942</v>
      </c>
      <c r="D21" s="26">
        <f>PL36_TCDT!C14</f>
        <v>79000</v>
      </c>
      <c r="E21" s="26">
        <f>'PL37'!D19</f>
        <v>535245.77450700942</v>
      </c>
      <c r="F21" s="26"/>
      <c r="G21" s="26"/>
      <c r="H21" s="26"/>
      <c r="I21" s="26"/>
      <c r="J21" s="26"/>
      <c r="K21" s="26"/>
      <c r="L21" s="26"/>
      <c r="M21" s="26"/>
      <c r="N21" s="26"/>
      <c r="O21" s="26"/>
      <c r="P21" s="26"/>
      <c r="Q21" s="26"/>
    </row>
    <row r="22" spans="1:17" s="36" customFormat="1" ht="18.75">
      <c r="A22" s="27" t="s">
        <v>121</v>
      </c>
      <c r="B22" s="28" t="s">
        <v>124</v>
      </c>
      <c r="C22" s="80">
        <f t="shared" si="7"/>
        <v>152340</v>
      </c>
      <c r="D22" s="26">
        <f>PL36_TCDT!C13</f>
        <v>32000</v>
      </c>
      <c r="E22" s="26">
        <f>'PL37'!D20</f>
        <v>120340</v>
      </c>
      <c r="F22" s="26"/>
      <c r="G22" s="26"/>
      <c r="H22" s="26"/>
      <c r="I22" s="26"/>
      <c r="J22" s="26"/>
      <c r="K22" s="26"/>
      <c r="L22" s="26"/>
      <c r="M22" s="26"/>
      <c r="N22" s="26"/>
      <c r="O22" s="26"/>
      <c r="P22" s="26"/>
      <c r="Q22" s="26"/>
    </row>
    <row r="23" spans="1:17" s="36" customFormat="1" ht="18.75">
      <c r="A23" s="27" t="s">
        <v>123</v>
      </c>
      <c r="B23" s="28" t="s">
        <v>126</v>
      </c>
      <c r="C23" s="80">
        <f t="shared" si="7"/>
        <v>79121</v>
      </c>
      <c r="D23" s="26">
        <f>PL36_TCDT!C16</f>
        <v>15000</v>
      </c>
      <c r="E23" s="26">
        <f>'PL37'!D21</f>
        <v>64121</v>
      </c>
      <c r="F23" s="26"/>
      <c r="G23" s="26"/>
      <c r="H23" s="26"/>
      <c r="I23" s="26"/>
      <c r="J23" s="26"/>
      <c r="K23" s="26"/>
      <c r="L23" s="26"/>
      <c r="M23" s="26"/>
      <c r="N23" s="26"/>
      <c r="O23" s="26"/>
      <c r="P23" s="26"/>
      <c r="Q23" s="26"/>
    </row>
    <row r="24" spans="1:17" s="36" customFormat="1" ht="18.75">
      <c r="A24" s="27" t="s">
        <v>125</v>
      </c>
      <c r="B24" s="28" t="s">
        <v>128</v>
      </c>
      <c r="C24" s="80">
        <f t="shared" si="7"/>
        <v>322696</v>
      </c>
      <c r="D24" s="26"/>
      <c r="E24" s="26">
        <f>'PL37'!D22</f>
        <v>322696</v>
      </c>
      <c r="F24" s="26"/>
      <c r="G24" s="26"/>
      <c r="H24" s="26"/>
      <c r="I24" s="26"/>
      <c r="J24" s="26"/>
      <c r="K24" s="26"/>
      <c r="L24" s="26"/>
      <c r="M24" s="26"/>
      <c r="N24" s="26"/>
      <c r="O24" s="26"/>
      <c r="P24" s="26"/>
      <c r="Q24" s="26"/>
    </row>
    <row r="25" spans="1:17" s="36" customFormat="1" ht="18.75">
      <c r="A25" s="27" t="s">
        <v>127</v>
      </c>
      <c r="B25" s="28" t="s">
        <v>130</v>
      </c>
      <c r="C25" s="80">
        <f t="shared" si="7"/>
        <v>13614</v>
      </c>
      <c r="D25" s="26"/>
      <c r="E25" s="26">
        <f>'PL37'!D23</f>
        <v>13614</v>
      </c>
      <c r="F25" s="26"/>
      <c r="G25" s="26"/>
      <c r="H25" s="26"/>
      <c r="I25" s="26"/>
      <c r="J25" s="26"/>
      <c r="K25" s="26"/>
      <c r="L25" s="26"/>
      <c r="M25" s="26"/>
      <c r="N25" s="26"/>
      <c r="O25" s="26"/>
      <c r="P25" s="26"/>
      <c r="Q25" s="26"/>
    </row>
    <row r="26" spans="1:17" s="36" customFormat="1" ht="18.75">
      <c r="A26" s="27" t="s">
        <v>129</v>
      </c>
      <c r="B26" s="28" t="s">
        <v>132</v>
      </c>
      <c r="C26" s="80">
        <f t="shared" si="7"/>
        <v>113823</v>
      </c>
      <c r="D26" s="26"/>
      <c r="E26" s="26">
        <f>'PL37'!D24</f>
        <v>113823</v>
      </c>
      <c r="F26" s="26"/>
      <c r="G26" s="26"/>
      <c r="H26" s="26"/>
      <c r="I26" s="26"/>
      <c r="J26" s="26"/>
      <c r="K26" s="26"/>
      <c r="L26" s="26"/>
      <c r="M26" s="26"/>
      <c r="N26" s="26"/>
      <c r="O26" s="26"/>
      <c r="P26" s="26"/>
      <c r="Q26" s="26"/>
    </row>
    <row r="27" spans="1:17" s="36" customFormat="1" ht="18.75">
      <c r="A27" s="27" t="s">
        <v>131</v>
      </c>
      <c r="B27" s="28" t="s">
        <v>134</v>
      </c>
      <c r="C27" s="80">
        <f t="shared" si="7"/>
        <v>21533</v>
      </c>
      <c r="D27" s="26"/>
      <c r="E27" s="26">
        <f>'PL37'!D25</f>
        <v>21533</v>
      </c>
      <c r="F27" s="26"/>
      <c r="G27" s="26"/>
      <c r="H27" s="26"/>
      <c r="I27" s="26"/>
      <c r="J27" s="26"/>
      <c r="K27" s="26"/>
      <c r="L27" s="26"/>
      <c r="M27" s="26"/>
      <c r="N27" s="26"/>
      <c r="O27" s="26"/>
      <c r="P27" s="26"/>
      <c r="Q27" s="26"/>
    </row>
    <row r="28" spans="1:17" s="36" customFormat="1" ht="18.75">
      <c r="A28" s="27" t="s">
        <v>133</v>
      </c>
      <c r="B28" s="28" t="s">
        <v>136</v>
      </c>
      <c r="C28" s="80">
        <f t="shared" si="7"/>
        <v>12411</v>
      </c>
      <c r="D28" s="26"/>
      <c r="E28" s="26">
        <f>'PL37'!D26</f>
        <v>12411</v>
      </c>
      <c r="F28" s="26"/>
      <c r="G28" s="26"/>
      <c r="H28" s="26"/>
      <c r="I28" s="26"/>
      <c r="J28" s="26"/>
      <c r="K28" s="26"/>
      <c r="L28" s="26"/>
      <c r="M28" s="26"/>
      <c r="N28" s="26"/>
      <c r="O28" s="26"/>
      <c r="P28" s="26"/>
      <c r="Q28" s="26"/>
    </row>
    <row r="29" spans="1:17" s="36" customFormat="1" ht="18.75">
      <c r="A29" s="27" t="s">
        <v>135</v>
      </c>
      <c r="B29" s="28" t="s">
        <v>138</v>
      </c>
      <c r="C29" s="80">
        <f t="shared" si="7"/>
        <v>50528</v>
      </c>
      <c r="D29" s="26">
        <f>PL36_TCDT!C19</f>
        <v>25900</v>
      </c>
      <c r="E29" s="26">
        <f>'PL37'!D27</f>
        <v>24628</v>
      </c>
      <c r="F29" s="26"/>
      <c r="G29" s="26"/>
      <c r="H29" s="26"/>
      <c r="I29" s="26"/>
      <c r="J29" s="26"/>
      <c r="K29" s="26"/>
      <c r="L29" s="26"/>
      <c r="M29" s="26"/>
      <c r="N29" s="26"/>
      <c r="O29" s="26"/>
      <c r="P29" s="26"/>
      <c r="Q29" s="26"/>
    </row>
    <row r="30" spans="1:17" s="36" customFormat="1" ht="18.75">
      <c r="A30" s="27" t="s">
        <v>137</v>
      </c>
      <c r="B30" s="28" t="s">
        <v>140</v>
      </c>
      <c r="C30" s="80">
        <f t="shared" si="7"/>
        <v>31154</v>
      </c>
      <c r="D30" s="26"/>
      <c r="E30" s="26">
        <f>'PL37'!D28</f>
        <v>31154</v>
      </c>
      <c r="F30" s="26"/>
      <c r="G30" s="26"/>
      <c r="H30" s="26"/>
      <c r="I30" s="26"/>
      <c r="J30" s="26"/>
      <c r="K30" s="26"/>
      <c r="L30" s="26"/>
      <c r="M30" s="26"/>
      <c r="N30" s="26"/>
      <c r="O30" s="26"/>
      <c r="P30" s="26"/>
      <c r="Q30" s="26"/>
    </row>
    <row r="31" spans="1:17" s="36" customFormat="1" ht="18.75">
      <c r="A31" s="27" t="s">
        <v>139</v>
      </c>
      <c r="B31" s="28" t="s">
        <v>141</v>
      </c>
      <c r="C31" s="80">
        <f t="shared" si="7"/>
        <v>32602</v>
      </c>
      <c r="D31" s="26"/>
      <c r="E31" s="26">
        <f>'PL37'!D29</f>
        <v>32602</v>
      </c>
      <c r="F31" s="26"/>
      <c r="G31" s="26"/>
      <c r="H31" s="26"/>
      <c r="I31" s="26"/>
      <c r="J31" s="26"/>
      <c r="K31" s="26"/>
      <c r="L31" s="26"/>
      <c r="M31" s="26"/>
      <c r="N31" s="26"/>
      <c r="O31" s="26"/>
      <c r="P31" s="26"/>
      <c r="Q31" s="26"/>
    </row>
    <row r="32" spans="1:17" s="35" customFormat="1" ht="18.75">
      <c r="A32" s="38">
        <v>2</v>
      </c>
      <c r="B32" s="39" t="s">
        <v>142</v>
      </c>
      <c r="C32" s="24">
        <f t="shared" ref="C32:I32" si="8">SUM(C33:C50)</f>
        <v>417842.22549299058</v>
      </c>
      <c r="D32" s="24">
        <f t="shared" si="8"/>
        <v>65863</v>
      </c>
      <c r="E32" s="24">
        <f t="shared" si="8"/>
        <v>351979.22549299058</v>
      </c>
      <c r="F32" s="24">
        <f t="shared" si="8"/>
        <v>0</v>
      </c>
      <c r="G32" s="24">
        <f t="shared" si="8"/>
        <v>0</v>
      </c>
      <c r="H32" s="24">
        <f t="shared" si="8"/>
        <v>0</v>
      </c>
      <c r="I32" s="24">
        <f t="shared" si="8"/>
        <v>0</v>
      </c>
      <c r="J32" s="24"/>
      <c r="K32" s="24">
        <f>SUM(K33:K50)</f>
        <v>0</v>
      </c>
      <c r="L32" s="24">
        <f>SUM(L33:L50)</f>
        <v>0</v>
      </c>
      <c r="M32" s="24">
        <f>SUM(M33:M50)</f>
        <v>0</v>
      </c>
      <c r="N32" s="24">
        <f>SUM(N33:N50)</f>
        <v>0</v>
      </c>
      <c r="O32" s="24"/>
      <c r="P32" s="24"/>
      <c r="Q32" s="24">
        <f>SUM(Q33:Q50)</f>
        <v>0</v>
      </c>
    </row>
    <row r="33" spans="1:17" s="36" customFormat="1" ht="18.75">
      <c r="A33" s="27" t="s">
        <v>143</v>
      </c>
      <c r="B33" s="28" t="s">
        <v>144</v>
      </c>
      <c r="C33" s="80">
        <f t="shared" si="7"/>
        <v>15458</v>
      </c>
      <c r="D33" s="26"/>
      <c r="E33" s="26">
        <f>'PL37'!D31</f>
        <v>15458</v>
      </c>
      <c r="F33" s="26"/>
      <c r="G33" s="26"/>
      <c r="H33" s="26"/>
      <c r="I33" s="26"/>
      <c r="J33" s="26"/>
      <c r="K33" s="26"/>
      <c r="L33" s="26"/>
      <c r="M33" s="26"/>
      <c r="N33" s="26"/>
      <c r="O33" s="26"/>
      <c r="P33" s="26"/>
      <c r="Q33" s="26"/>
    </row>
    <row r="34" spans="1:17" s="36" customFormat="1" ht="18.75">
      <c r="A34" s="27" t="s">
        <v>145</v>
      </c>
      <c r="B34" s="28" t="s">
        <v>146</v>
      </c>
      <c r="C34" s="80">
        <f t="shared" si="7"/>
        <v>60390.601971098615</v>
      </c>
      <c r="D34" s="26">
        <f>PL36_TCDT!C21</f>
        <v>6900</v>
      </c>
      <c r="E34" s="26">
        <f>'PL37'!D32</f>
        <v>53490.601971098615</v>
      </c>
      <c r="F34" s="26"/>
      <c r="G34" s="26"/>
      <c r="H34" s="26"/>
      <c r="I34" s="26"/>
      <c r="J34" s="26"/>
      <c r="K34" s="26"/>
      <c r="L34" s="26"/>
      <c r="M34" s="26"/>
      <c r="N34" s="26"/>
      <c r="O34" s="26"/>
      <c r="P34" s="26"/>
      <c r="Q34" s="26"/>
    </row>
    <row r="35" spans="1:17" s="36" customFormat="1" ht="18.75">
      <c r="A35" s="27" t="s">
        <v>147</v>
      </c>
      <c r="B35" s="28" t="s">
        <v>148</v>
      </c>
      <c r="C35" s="80">
        <f t="shared" si="7"/>
        <v>13967.623521891979</v>
      </c>
      <c r="D35" s="26"/>
      <c r="E35" s="26">
        <f>'PL37'!D33</f>
        <v>13967.623521891979</v>
      </c>
      <c r="F35" s="26"/>
      <c r="G35" s="26"/>
      <c r="H35" s="26"/>
      <c r="I35" s="26"/>
      <c r="J35" s="26"/>
      <c r="K35" s="26"/>
      <c r="L35" s="26"/>
      <c r="M35" s="26"/>
      <c r="N35" s="26"/>
      <c r="O35" s="26"/>
      <c r="P35" s="26"/>
      <c r="Q35" s="26"/>
    </row>
    <row r="36" spans="1:17" s="36" customFormat="1" ht="18.75">
      <c r="A36" s="27" t="s">
        <v>149</v>
      </c>
      <c r="B36" s="28" t="s">
        <v>150</v>
      </c>
      <c r="C36" s="80">
        <f t="shared" si="7"/>
        <v>25206</v>
      </c>
      <c r="D36" s="26">
        <v>0</v>
      </c>
      <c r="E36" s="26">
        <f>'PL37'!D34</f>
        <v>25206</v>
      </c>
      <c r="F36" s="26"/>
      <c r="G36" s="26"/>
      <c r="H36" s="26"/>
      <c r="I36" s="26"/>
      <c r="J36" s="26"/>
      <c r="K36" s="26"/>
      <c r="L36" s="26"/>
      <c r="M36" s="26"/>
      <c r="N36" s="26"/>
      <c r="O36" s="26"/>
      <c r="P36" s="26"/>
      <c r="Q36" s="26"/>
    </row>
    <row r="37" spans="1:17" s="36" customFormat="1" ht="18.75">
      <c r="A37" s="27" t="s">
        <v>151</v>
      </c>
      <c r="B37" s="28" t="s">
        <v>152</v>
      </c>
      <c r="C37" s="80">
        <f t="shared" si="7"/>
        <v>7486</v>
      </c>
      <c r="D37" s="26"/>
      <c r="E37" s="26">
        <f>'PL37'!D35</f>
        <v>7486</v>
      </c>
      <c r="F37" s="26"/>
      <c r="G37" s="26"/>
      <c r="H37" s="26"/>
      <c r="I37" s="26"/>
      <c r="J37" s="26"/>
      <c r="K37" s="26"/>
      <c r="L37" s="26"/>
      <c r="M37" s="26"/>
      <c r="N37" s="26"/>
      <c r="O37" s="26"/>
      <c r="P37" s="26"/>
      <c r="Q37" s="26"/>
    </row>
    <row r="38" spans="1:17" s="36" customFormat="1" ht="18.75">
      <c r="A38" s="27" t="s">
        <v>153</v>
      </c>
      <c r="B38" s="28" t="s">
        <v>154</v>
      </c>
      <c r="C38" s="80">
        <f t="shared" si="7"/>
        <v>19993</v>
      </c>
      <c r="D38" s="26">
        <f>PL36_TCDT!C18</f>
        <v>8840</v>
      </c>
      <c r="E38" s="26">
        <f>'PL37'!D36</f>
        <v>11153</v>
      </c>
      <c r="F38" s="26"/>
      <c r="G38" s="26"/>
      <c r="H38" s="26"/>
      <c r="I38" s="26"/>
      <c r="J38" s="26"/>
      <c r="K38" s="26"/>
      <c r="L38" s="26"/>
      <c r="M38" s="26"/>
      <c r="N38" s="26"/>
      <c r="O38" s="26"/>
      <c r="P38" s="26"/>
      <c r="Q38" s="26"/>
    </row>
    <row r="39" spans="1:17" s="36" customFormat="1" ht="18.75">
      <c r="A39" s="27" t="s">
        <v>155</v>
      </c>
      <c r="B39" s="28" t="s">
        <v>156</v>
      </c>
      <c r="C39" s="80">
        <f t="shared" si="7"/>
        <v>10667</v>
      </c>
      <c r="D39" s="26"/>
      <c r="E39" s="26">
        <f>'PL37'!D37</f>
        <v>10667</v>
      </c>
      <c r="F39" s="26"/>
      <c r="G39" s="26"/>
      <c r="H39" s="26"/>
      <c r="I39" s="26"/>
      <c r="J39" s="26"/>
      <c r="K39" s="26"/>
      <c r="L39" s="26"/>
      <c r="M39" s="26"/>
      <c r="N39" s="26"/>
      <c r="O39" s="26"/>
      <c r="P39" s="26"/>
      <c r="Q39" s="26"/>
    </row>
    <row r="40" spans="1:17" s="36" customFormat="1" ht="18.75">
      <c r="A40" s="27" t="s">
        <v>157</v>
      </c>
      <c r="B40" s="28" t="s">
        <v>158</v>
      </c>
      <c r="C40" s="80">
        <f t="shared" si="7"/>
        <v>20652</v>
      </c>
      <c r="D40" s="26"/>
      <c r="E40" s="26">
        <f>'PL37'!D38</f>
        <v>20652</v>
      </c>
      <c r="F40" s="26"/>
      <c r="G40" s="26"/>
      <c r="H40" s="26"/>
      <c r="I40" s="26"/>
      <c r="J40" s="26"/>
      <c r="K40" s="26"/>
      <c r="L40" s="26"/>
      <c r="M40" s="26"/>
      <c r="N40" s="26"/>
      <c r="O40" s="26"/>
      <c r="P40" s="26"/>
      <c r="Q40" s="26"/>
    </row>
    <row r="41" spans="1:17" s="36" customFormat="1" ht="18.75">
      <c r="A41" s="27" t="s">
        <v>159</v>
      </c>
      <c r="B41" s="28" t="s">
        <v>160</v>
      </c>
      <c r="C41" s="80">
        <f t="shared" si="7"/>
        <v>17981</v>
      </c>
      <c r="D41" s="26"/>
      <c r="E41" s="26">
        <f>'PL37'!D39</f>
        <v>17981</v>
      </c>
      <c r="F41" s="26"/>
      <c r="G41" s="26"/>
      <c r="H41" s="26"/>
      <c r="I41" s="26"/>
      <c r="J41" s="26"/>
      <c r="K41" s="26"/>
      <c r="L41" s="26"/>
      <c r="M41" s="26"/>
      <c r="N41" s="26"/>
      <c r="O41" s="26"/>
      <c r="P41" s="26"/>
      <c r="Q41" s="26"/>
    </row>
    <row r="42" spans="1:17" s="36" customFormat="1" ht="18.75">
      <c r="A42" s="27" t="s">
        <v>161</v>
      </c>
      <c r="B42" s="28" t="s">
        <v>162</v>
      </c>
      <c r="C42" s="80">
        <f t="shared" si="7"/>
        <v>14007</v>
      </c>
      <c r="D42" s="26"/>
      <c r="E42" s="26">
        <f>'PL37'!D40</f>
        <v>14007</v>
      </c>
      <c r="F42" s="26"/>
      <c r="G42" s="26"/>
      <c r="H42" s="26"/>
      <c r="I42" s="26"/>
      <c r="J42" s="26"/>
      <c r="K42" s="26"/>
      <c r="L42" s="26"/>
      <c r="M42" s="26"/>
      <c r="N42" s="26"/>
      <c r="O42" s="26"/>
      <c r="P42" s="26"/>
      <c r="Q42" s="26"/>
    </row>
    <row r="43" spans="1:17" s="36" customFormat="1" ht="18.75">
      <c r="A43" s="27" t="s">
        <v>163</v>
      </c>
      <c r="B43" s="28" t="s">
        <v>164</v>
      </c>
      <c r="C43" s="80">
        <f t="shared" si="7"/>
        <v>41198</v>
      </c>
      <c r="D43" s="26"/>
      <c r="E43" s="26">
        <f>'PL37'!D41</f>
        <v>41198</v>
      </c>
      <c r="F43" s="26"/>
      <c r="G43" s="26"/>
      <c r="H43" s="26"/>
      <c r="I43" s="26"/>
      <c r="J43" s="26"/>
      <c r="K43" s="26"/>
      <c r="L43" s="26"/>
      <c r="M43" s="26"/>
      <c r="N43" s="26"/>
      <c r="O43" s="26"/>
      <c r="P43" s="26"/>
      <c r="Q43" s="26"/>
    </row>
    <row r="44" spans="1:17" s="36" customFormat="1" ht="18.75">
      <c r="A44" s="27" t="s">
        <v>165</v>
      </c>
      <c r="B44" s="28" t="s">
        <v>166</v>
      </c>
      <c r="C44" s="80">
        <f t="shared" si="7"/>
        <v>3345</v>
      </c>
      <c r="D44" s="26"/>
      <c r="E44" s="26">
        <f>'PL37'!D42</f>
        <v>3345</v>
      </c>
      <c r="F44" s="26"/>
      <c r="G44" s="26"/>
      <c r="H44" s="26"/>
      <c r="I44" s="26"/>
      <c r="J44" s="26"/>
      <c r="K44" s="26"/>
      <c r="L44" s="26"/>
      <c r="M44" s="26"/>
      <c r="N44" s="26"/>
      <c r="O44" s="26"/>
      <c r="P44" s="26"/>
      <c r="Q44" s="26"/>
    </row>
    <row r="45" spans="1:17" s="36" customFormat="1" ht="18.75">
      <c r="A45" s="27" t="s">
        <v>167</v>
      </c>
      <c r="B45" s="28" t="s">
        <v>168</v>
      </c>
      <c r="C45" s="80">
        <f t="shared" si="7"/>
        <v>6516</v>
      </c>
      <c r="D45" s="26"/>
      <c r="E45" s="26">
        <f>'PL37'!D43</f>
        <v>6516</v>
      </c>
      <c r="F45" s="26"/>
      <c r="G45" s="26"/>
      <c r="H45" s="26"/>
      <c r="I45" s="26"/>
      <c r="J45" s="26"/>
      <c r="K45" s="26"/>
      <c r="L45" s="26"/>
      <c r="M45" s="26"/>
      <c r="N45" s="26"/>
      <c r="O45" s="26"/>
      <c r="P45" s="26"/>
      <c r="Q45" s="26"/>
    </row>
    <row r="46" spans="1:17" s="36" customFormat="1" ht="18.75">
      <c r="A46" s="27" t="s">
        <v>169</v>
      </c>
      <c r="B46" s="28" t="s">
        <v>170</v>
      </c>
      <c r="C46" s="80">
        <f t="shared" si="7"/>
        <v>10111</v>
      </c>
      <c r="D46" s="26"/>
      <c r="E46" s="26">
        <f>'PL37'!D44</f>
        <v>10111</v>
      </c>
      <c r="F46" s="26"/>
      <c r="G46" s="26"/>
      <c r="H46" s="26"/>
      <c r="I46" s="26"/>
      <c r="J46" s="26"/>
      <c r="K46" s="26"/>
      <c r="L46" s="26"/>
      <c r="M46" s="26"/>
      <c r="N46" s="26"/>
      <c r="O46" s="26"/>
      <c r="P46" s="26"/>
      <c r="Q46" s="26"/>
    </row>
    <row r="47" spans="1:17" s="36" customFormat="1" ht="18.75">
      <c r="A47" s="27" t="s">
        <v>171</v>
      </c>
      <c r="B47" s="28" t="s">
        <v>172</v>
      </c>
      <c r="C47" s="80">
        <f t="shared" si="7"/>
        <v>8689</v>
      </c>
      <c r="D47" s="26"/>
      <c r="E47" s="26">
        <f>'PL37'!D45</f>
        <v>8689</v>
      </c>
      <c r="F47" s="26"/>
      <c r="G47" s="26"/>
      <c r="H47" s="26"/>
      <c r="I47" s="26"/>
      <c r="J47" s="26"/>
      <c r="K47" s="26"/>
      <c r="L47" s="26"/>
      <c r="M47" s="26"/>
      <c r="N47" s="26"/>
      <c r="O47" s="26"/>
      <c r="P47" s="26"/>
      <c r="Q47" s="26"/>
    </row>
    <row r="48" spans="1:17" s="36" customFormat="1" ht="18.75">
      <c r="A48" s="27" t="s">
        <v>173</v>
      </c>
      <c r="B48" s="28" t="s">
        <v>174</v>
      </c>
      <c r="C48" s="80">
        <f t="shared" si="7"/>
        <v>19383</v>
      </c>
      <c r="D48" s="26"/>
      <c r="E48" s="26">
        <f>'PL37'!D46</f>
        <v>19383</v>
      </c>
      <c r="F48" s="26"/>
      <c r="G48" s="26"/>
      <c r="H48" s="26"/>
      <c r="I48" s="26"/>
      <c r="J48" s="26"/>
      <c r="K48" s="26"/>
      <c r="L48" s="26"/>
      <c r="M48" s="26"/>
      <c r="N48" s="26"/>
      <c r="O48" s="26"/>
      <c r="P48" s="26"/>
      <c r="Q48" s="26"/>
    </row>
    <row r="49" spans="1:17" s="36" customFormat="1" ht="18.75">
      <c r="A49" s="27" t="s">
        <v>175</v>
      </c>
      <c r="B49" s="28" t="s">
        <v>176</v>
      </c>
      <c r="C49" s="80">
        <f t="shared" si="7"/>
        <v>90819</v>
      </c>
      <c r="D49" s="26">
        <f>PL36_TCDT!C20</f>
        <v>50123</v>
      </c>
      <c r="E49" s="26">
        <f>'PL37'!D47</f>
        <v>40696</v>
      </c>
      <c r="F49" s="26"/>
      <c r="G49" s="26"/>
      <c r="H49" s="26"/>
      <c r="I49" s="26"/>
      <c r="J49" s="26"/>
      <c r="K49" s="26"/>
      <c r="L49" s="26"/>
      <c r="M49" s="26"/>
      <c r="N49" s="26"/>
      <c r="O49" s="26"/>
      <c r="P49" s="26"/>
      <c r="Q49" s="26"/>
    </row>
    <row r="50" spans="1:17" s="36" customFormat="1" ht="18.75">
      <c r="A50" s="27" t="s">
        <v>177</v>
      </c>
      <c r="B50" s="28" t="s">
        <v>178</v>
      </c>
      <c r="C50" s="80">
        <f t="shared" si="7"/>
        <v>31973</v>
      </c>
      <c r="D50" s="26"/>
      <c r="E50" s="26">
        <f>'PL37'!D48</f>
        <v>31973</v>
      </c>
      <c r="F50" s="26"/>
      <c r="G50" s="26"/>
      <c r="H50" s="26"/>
      <c r="I50" s="26"/>
      <c r="J50" s="26"/>
      <c r="K50" s="26"/>
      <c r="L50" s="26"/>
      <c r="M50" s="26"/>
      <c r="N50" s="26"/>
      <c r="O50" s="26"/>
      <c r="P50" s="26"/>
      <c r="Q50" s="26"/>
    </row>
    <row r="51" spans="1:17" s="35" customFormat="1" ht="37.5">
      <c r="A51" s="38">
        <v>3</v>
      </c>
      <c r="B51" s="39" t="s">
        <v>195</v>
      </c>
      <c r="C51" s="24">
        <f>SUM(C52:C69)+C70+C71+C72+C86+C97+C98+C99+C100+C101+C102+C103</f>
        <v>223436</v>
      </c>
      <c r="D51" s="24">
        <f t="shared" ref="D51:Q51" si="9">SUM(D52:D69)+D70+D71+D72+D86+D97+D98+D99+D100+D101+D102+D103</f>
        <v>190661</v>
      </c>
      <c r="E51" s="24">
        <f t="shared" si="9"/>
        <v>32775</v>
      </c>
      <c r="F51" s="24">
        <f t="shared" si="9"/>
        <v>0</v>
      </c>
      <c r="G51" s="24">
        <f t="shared" si="9"/>
        <v>0</v>
      </c>
      <c r="H51" s="24">
        <f t="shared" si="9"/>
        <v>0</v>
      </c>
      <c r="I51" s="24">
        <f t="shared" si="9"/>
        <v>0</v>
      </c>
      <c r="J51" s="24">
        <f t="shared" si="9"/>
        <v>0</v>
      </c>
      <c r="K51" s="24">
        <f t="shared" si="9"/>
        <v>0</v>
      </c>
      <c r="L51" s="24">
        <f t="shared" si="9"/>
        <v>0</v>
      </c>
      <c r="M51" s="24">
        <f t="shared" si="9"/>
        <v>0</v>
      </c>
      <c r="N51" s="24">
        <f t="shared" si="9"/>
        <v>0</v>
      </c>
      <c r="O51" s="24">
        <f t="shared" si="9"/>
        <v>0</v>
      </c>
      <c r="P51" s="24">
        <f t="shared" si="9"/>
        <v>0</v>
      </c>
      <c r="Q51" s="24">
        <f t="shared" si="9"/>
        <v>0</v>
      </c>
    </row>
    <row r="52" spans="1:17" s="36" customFormat="1" ht="18.75">
      <c r="A52" s="27" t="s">
        <v>196</v>
      </c>
      <c r="B52" s="28" t="s">
        <v>197</v>
      </c>
      <c r="C52" s="80">
        <f t="shared" si="7"/>
        <v>739</v>
      </c>
      <c r="D52" s="26"/>
      <c r="E52" s="26">
        <f>'PL37'!D50</f>
        <v>739</v>
      </c>
      <c r="F52" s="26"/>
      <c r="G52" s="26"/>
      <c r="H52" s="26"/>
      <c r="I52" s="26"/>
      <c r="J52" s="26"/>
      <c r="K52" s="26"/>
      <c r="L52" s="26"/>
      <c r="M52" s="26"/>
      <c r="N52" s="26"/>
      <c r="O52" s="26"/>
      <c r="P52" s="26"/>
      <c r="Q52" s="26"/>
    </row>
    <row r="53" spans="1:17" s="36" customFormat="1" ht="18.75">
      <c r="A53" s="27" t="s">
        <v>198</v>
      </c>
      <c r="B53" s="28" t="s">
        <v>199</v>
      </c>
      <c r="C53" s="80">
        <f t="shared" si="7"/>
        <v>801</v>
      </c>
      <c r="D53" s="26"/>
      <c r="E53" s="26">
        <f>'PL37'!D51</f>
        <v>801</v>
      </c>
      <c r="F53" s="26"/>
      <c r="G53" s="26"/>
      <c r="H53" s="26"/>
      <c r="I53" s="26"/>
      <c r="J53" s="26"/>
      <c r="K53" s="26"/>
      <c r="L53" s="26"/>
      <c r="M53" s="26"/>
      <c r="N53" s="26"/>
      <c r="O53" s="26"/>
      <c r="P53" s="26"/>
      <c r="Q53" s="26"/>
    </row>
    <row r="54" spans="1:17" s="36" customFormat="1" ht="37.5">
      <c r="A54" s="27" t="s">
        <v>200</v>
      </c>
      <c r="B54" s="28" t="s">
        <v>201</v>
      </c>
      <c r="C54" s="80">
        <f t="shared" si="7"/>
        <v>611</v>
      </c>
      <c r="D54" s="26"/>
      <c r="E54" s="26">
        <f>'PL37'!D52</f>
        <v>611</v>
      </c>
      <c r="F54" s="26"/>
      <c r="G54" s="26"/>
      <c r="H54" s="26"/>
      <c r="I54" s="26"/>
      <c r="J54" s="26"/>
      <c r="K54" s="26"/>
      <c r="L54" s="26"/>
      <c r="M54" s="26"/>
      <c r="N54" s="26"/>
      <c r="O54" s="26"/>
      <c r="P54" s="26"/>
      <c r="Q54" s="26"/>
    </row>
    <row r="55" spans="1:17" s="36" customFormat="1" ht="18.75">
      <c r="A55" s="27" t="s">
        <v>202</v>
      </c>
      <c r="B55" s="28" t="s">
        <v>203</v>
      </c>
      <c r="C55" s="80">
        <f t="shared" si="7"/>
        <v>508</v>
      </c>
      <c r="D55" s="26"/>
      <c r="E55" s="26">
        <f>'PL37'!D53</f>
        <v>508</v>
      </c>
      <c r="F55" s="26"/>
      <c r="G55" s="26"/>
      <c r="H55" s="26"/>
      <c r="I55" s="26"/>
      <c r="J55" s="26"/>
      <c r="K55" s="26"/>
      <c r="L55" s="26"/>
      <c r="M55" s="26"/>
      <c r="N55" s="26"/>
      <c r="O55" s="26"/>
      <c r="P55" s="26"/>
      <c r="Q55" s="26"/>
    </row>
    <row r="56" spans="1:17" s="36" customFormat="1" ht="18.75">
      <c r="A56" s="27" t="s">
        <v>204</v>
      </c>
      <c r="B56" s="28" t="s">
        <v>205</v>
      </c>
      <c r="C56" s="80">
        <f t="shared" si="7"/>
        <v>90</v>
      </c>
      <c r="D56" s="26"/>
      <c r="E56" s="26">
        <f>'PL37'!D54</f>
        <v>90</v>
      </c>
      <c r="F56" s="26"/>
      <c r="G56" s="26"/>
      <c r="H56" s="26"/>
      <c r="I56" s="26"/>
      <c r="J56" s="26"/>
      <c r="K56" s="26"/>
      <c r="L56" s="26"/>
      <c r="M56" s="26"/>
      <c r="N56" s="26"/>
      <c r="O56" s="26"/>
      <c r="P56" s="26"/>
      <c r="Q56" s="26"/>
    </row>
    <row r="57" spans="1:17" s="36" customFormat="1" ht="18.75">
      <c r="A57" s="27" t="s">
        <v>206</v>
      </c>
      <c r="B57" s="28" t="s">
        <v>207</v>
      </c>
      <c r="C57" s="80">
        <f t="shared" si="7"/>
        <v>1621</v>
      </c>
      <c r="D57" s="26"/>
      <c r="E57" s="26">
        <f>'PL37'!D55</f>
        <v>1621</v>
      </c>
      <c r="F57" s="26"/>
      <c r="G57" s="26"/>
      <c r="H57" s="26"/>
      <c r="I57" s="26"/>
      <c r="J57" s="26"/>
      <c r="K57" s="26"/>
      <c r="L57" s="26"/>
      <c r="M57" s="26"/>
      <c r="N57" s="26"/>
      <c r="O57" s="26"/>
      <c r="P57" s="26"/>
      <c r="Q57" s="26"/>
    </row>
    <row r="58" spans="1:17" s="36" customFormat="1" ht="18.75">
      <c r="A58" s="27" t="s">
        <v>208</v>
      </c>
      <c r="B58" s="28" t="s">
        <v>209</v>
      </c>
      <c r="C58" s="80">
        <f t="shared" si="7"/>
        <v>2815</v>
      </c>
      <c r="D58" s="26"/>
      <c r="E58" s="26">
        <f>'PL37'!D56</f>
        <v>2815</v>
      </c>
      <c r="F58" s="26"/>
      <c r="G58" s="26"/>
      <c r="H58" s="26"/>
      <c r="I58" s="26"/>
      <c r="J58" s="26"/>
      <c r="K58" s="26"/>
      <c r="L58" s="26"/>
      <c r="M58" s="26"/>
      <c r="N58" s="26"/>
      <c r="O58" s="26"/>
      <c r="P58" s="26"/>
      <c r="Q58" s="26"/>
    </row>
    <row r="59" spans="1:17" s="36" customFormat="1" ht="18.75">
      <c r="A59" s="27" t="s">
        <v>210</v>
      </c>
      <c r="B59" s="28" t="s">
        <v>211</v>
      </c>
      <c r="C59" s="80">
        <f t="shared" si="7"/>
        <v>440</v>
      </c>
      <c r="D59" s="26"/>
      <c r="E59" s="26">
        <f>'PL37'!D57</f>
        <v>440</v>
      </c>
      <c r="F59" s="26"/>
      <c r="G59" s="26"/>
      <c r="H59" s="26"/>
      <c r="I59" s="26"/>
      <c r="J59" s="26"/>
      <c r="K59" s="26"/>
      <c r="L59" s="26"/>
      <c r="M59" s="26"/>
      <c r="N59" s="26"/>
      <c r="O59" s="26"/>
      <c r="P59" s="26"/>
      <c r="Q59" s="26"/>
    </row>
    <row r="60" spans="1:17" s="36" customFormat="1" ht="18.75">
      <c r="A60" s="27" t="s">
        <v>212</v>
      </c>
      <c r="B60" s="28" t="s">
        <v>213</v>
      </c>
      <c r="C60" s="80">
        <f t="shared" si="7"/>
        <v>1704</v>
      </c>
      <c r="D60" s="26"/>
      <c r="E60" s="26">
        <f>'PL37'!D58</f>
        <v>1704</v>
      </c>
      <c r="F60" s="26"/>
      <c r="G60" s="26"/>
      <c r="H60" s="26"/>
      <c r="I60" s="26"/>
      <c r="J60" s="26"/>
      <c r="K60" s="26"/>
      <c r="L60" s="26"/>
      <c r="M60" s="26"/>
      <c r="N60" s="26"/>
      <c r="O60" s="26"/>
      <c r="P60" s="26"/>
      <c r="Q60" s="26"/>
    </row>
    <row r="61" spans="1:17" s="36" customFormat="1" ht="18.75">
      <c r="A61" s="27" t="s">
        <v>214</v>
      </c>
      <c r="B61" s="28" t="s">
        <v>215</v>
      </c>
      <c r="C61" s="80">
        <f t="shared" si="7"/>
        <v>142</v>
      </c>
      <c r="D61" s="26"/>
      <c r="E61" s="26">
        <f>'PL37'!D59</f>
        <v>142</v>
      </c>
      <c r="F61" s="26"/>
      <c r="G61" s="26"/>
      <c r="H61" s="26"/>
      <c r="I61" s="26"/>
      <c r="J61" s="26"/>
      <c r="K61" s="26"/>
      <c r="L61" s="26"/>
      <c r="M61" s="26"/>
      <c r="N61" s="26"/>
      <c r="O61" s="26"/>
      <c r="P61" s="26"/>
      <c r="Q61" s="26"/>
    </row>
    <row r="62" spans="1:17" s="36" customFormat="1" ht="18.75">
      <c r="A62" s="27" t="s">
        <v>216</v>
      </c>
      <c r="B62" s="28" t="s">
        <v>217</v>
      </c>
      <c r="C62" s="80">
        <f t="shared" si="7"/>
        <v>76</v>
      </c>
      <c r="D62" s="26"/>
      <c r="E62" s="26">
        <f>'PL37'!D60</f>
        <v>76</v>
      </c>
      <c r="F62" s="26"/>
      <c r="G62" s="26"/>
      <c r="H62" s="26"/>
      <c r="I62" s="26"/>
      <c r="J62" s="26"/>
      <c r="K62" s="26"/>
      <c r="L62" s="26"/>
      <c r="M62" s="26"/>
      <c r="N62" s="26"/>
      <c r="O62" s="26"/>
      <c r="P62" s="26"/>
      <c r="Q62" s="26"/>
    </row>
    <row r="63" spans="1:17" s="36" customFormat="1" ht="18.75">
      <c r="A63" s="27" t="s">
        <v>218</v>
      </c>
      <c r="B63" s="28" t="s">
        <v>219</v>
      </c>
      <c r="C63" s="80">
        <f t="shared" si="7"/>
        <v>153</v>
      </c>
      <c r="D63" s="26"/>
      <c r="E63" s="26">
        <f>'PL37'!D61</f>
        <v>153</v>
      </c>
      <c r="F63" s="26"/>
      <c r="G63" s="26"/>
      <c r="H63" s="26"/>
      <c r="I63" s="26"/>
      <c r="J63" s="26"/>
      <c r="K63" s="26"/>
      <c r="L63" s="26"/>
      <c r="M63" s="26"/>
      <c r="N63" s="26"/>
      <c r="O63" s="26"/>
      <c r="P63" s="26"/>
      <c r="Q63" s="26"/>
    </row>
    <row r="64" spans="1:17" s="36" customFormat="1" ht="18.75">
      <c r="A64" s="27" t="s">
        <v>220</v>
      </c>
      <c r="B64" s="28" t="s">
        <v>221</v>
      </c>
      <c r="C64" s="80">
        <f t="shared" si="7"/>
        <v>262</v>
      </c>
      <c r="D64" s="26"/>
      <c r="E64" s="26">
        <f>'PL37'!D62</f>
        <v>262</v>
      </c>
      <c r="F64" s="26"/>
      <c r="G64" s="26"/>
      <c r="H64" s="26"/>
      <c r="I64" s="26"/>
      <c r="J64" s="26"/>
      <c r="K64" s="26"/>
      <c r="L64" s="26"/>
      <c r="M64" s="26"/>
      <c r="N64" s="26"/>
      <c r="O64" s="26"/>
      <c r="P64" s="26"/>
      <c r="Q64" s="26"/>
    </row>
    <row r="65" spans="1:17" s="36" customFormat="1" ht="18.75">
      <c r="A65" s="27" t="s">
        <v>222</v>
      </c>
      <c r="B65" s="28" t="s">
        <v>223</v>
      </c>
      <c r="C65" s="80">
        <f t="shared" si="7"/>
        <v>3373</v>
      </c>
      <c r="D65" s="26"/>
      <c r="E65" s="26">
        <f>'PL37'!D63</f>
        <v>3373</v>
      </c>
      <c r="F65" s="26"/>
      <c r="G65" s="26"/>
      <c r="H65" s="26"/>
      <c r="I65" s="26"/>
      <c r="J65" s="26"/>
      <c r="K65" s="26"/>
      <c r="L65" s="26"/>
      <c r="M65" s="26"/>
      <c r="N65" s="26"/>
      <c r="O65" s="26"/>
      <c r="P65" s="26"/>
      <c r="Q65" s="26"/>
    </row>
    <row r="66" spans="1:17" s="36" customFormat="1" ht="18.75">
      <c r="A66" s="27" t="s">
        <v>224</v>
      </c>
      <c r="B66" s="28" t="s">
        <v>225</v>
      </c>
      <c r="C66" s="80">
        <f t="shared" si="7"/>
        <v>3029</v>
      </c>
      <c r="D66" s="26"/>
      <c r="E66" s="26">
        <f>'PL37'!D64</f>
        <v>3029</v>
      </c>
      <c r="F66" s="26"/>
      <c r="G66" s="26"/>
      <c r="H66" s="26"/>
      <c r="I66" s="26"/>
      <c r="J66" s="26"/>
      <c r="K66" s="26"/>
      <c r="L66" s="26"/>
      <c r="M66" s="26"/>
      <c r="N66" s="26"/>
      <c r="O66" s="26"/>
      <c r="P66" s="26"/>
      <c r="Q66" s="26"/>
    </row>
    <row r="67" spans="1:17" s="36" customFormat="1" ht="18.75">
      <c r="A67" s="27" t="s">
        <v>226</v>
      </c>
      <c r="B67" s="28" t="s">
        <v>227</v>
      </c>
      <c r="C67" s="80">
        <f t="shared" si="7"/>
        <v>65</v>
      </c>
      <c r="D67" s="26"/>
      <c r="E67" s="26">
        <f>'PL37'!D65</f>
        <v>65</v>
      </c>
      <c r="F67" s="26"/>
      <c r="G67" s="26"/>
      <c r="H67" s="26"/>
      <c r="I67" s="26"/>
      <c r="J67" s="26"/>
      <c r="K67" s="26"/>
      <c r="L67" s="26"/>
      <c r="M67" s="26"/>
      <c r="N67" s="26"/>
      <c r="O67" s="26"/>
      <c r="P67" s="26"/>
      <c r="Q67" s="26"/>
    </row>
    <row r="68" spans="1:17" s="36" customFormat="1" ht="37.5">
      <c r="A68" s="27" t="s">
        <v>228</v>
      </c>
      <c r="B68" s="28" t="s">
        <v>318</v>
      </c>
      <c r="C68" s="80">
        <f t="shared" si="7"/>
        <v>18</v>
      </c>
      <c r="D68" s="26"/>
      <c r="E68" s="26">
        <f>'PL37'!D67</f>
        <v>18</v>
      </c>
      <c r="F68" s="26"/>
      <c r="G68" s="26"/>
      <c r="H68" s="26"/>
      <c r="I68" s="26"/>
      <c r="J68" s="26"/>
      <c r="K68" s="26"/>
      <c r="L68" s="26"/>
      <c r="M68" s="26"/>
      <c r="N68" s="26"/>
      <c r="O68" s="26"/>
      <c r="P68" s="26"/>
      <c r="Q68" s="26"/>
    </row>
    <row r="69" spans="1:17" s="36" customFormat="1" ht="18.75">
      <c r="A69" s="27" t="s">
        <v>230</v>
      </c>
      <c r="B69" s="28" t="s">
        <v>229</v>
      </c>
      <c r="C69" s="80">
        <f t="shared" si="7"/>
        <v>34</v>
      </c>
      <c r="D69" s="26"/>
      <c r="E69" s="26">
        <f>'PL37'!D66</f>
        <v>34</v>
      </c>
      <c r="F69" s="26"/>
      <c r="G69" s="26"/>
      <c r="H69" s="26"/>
      <c r="I69" s="26"/>
      <c r="J69" s="26"/>
      <c r="K69" s="26"/>
      <c r="L69" s="26"/>
      <c r="M69" s="26"/>
      <c r="N69" s="26"/>
      <c r="O69" s="26"/>
      <c r="P69" s="26"/>
      <c r="Q69" s="26"/>
    </row>
    <row r="70" spans="1:17" s="36" customFormat="1" ht="18.75">
      <c r="A70" s="27" t="s">
        <v>232</v>
      </c>
      <c r="B70" s="28" t="s">
        <v>231</v>
      </c>
      <c r="C70" s="80">
        <f t="shared" si="7"/>
        <v>197</v>
      </c>
      <c r="D70" s="26"/>
      <c r="E70" s="26">
        <f>'PL37'!D68</f>
        <v>197</v>
      </c>
      <c r="F70" s="26"/>
      <c r="G70" s="26"/>
      <c r="H70" s="26"/>
      <c r="I70" s="26"/>
      <c r="J70" s="26"/>
      <c r="K70" s="26"/>
      <c r="L70" s="26"/>
      <c r="M70" s="26"/>
      <c r="N70" s="26"/>
      <c r="O70" s="26"/>
      <c r="P70" s="26"/>
      <c r="Q70" s="26"/>
    </row>
    <row r="71" spans="1:17" s="36" customFormat="1" ht="18.75">
      <c r="A71" s="27" t="s">
        <v>234</v>
      </c>
      <c r="B71" s="28" t="s">
        <v>233</v>
      </c>
      <c r="C71" s="80">
        <f t="shared" si="7"/>
        <v>200</v>
      </c>
      <c r="D71" s="26"/>
      <c r="E71" s="26">
        <f>'PL37'!D69</f>
        <v>200</v>
      </c>
      <c r="F71" s="26"/>
      <c r="G71" s="26"/>
      <c r="H71" s="26"/>
      <c r="I71" s="26"/>
      <c r="J71" s="26"/>
      <c r="K71" s="26"/>
      <c r="L71" s="26"/>
      <c r="M71" s="26"/>
      <c r="N71" s="26"/>
      <c r="O71" s="26"/>
      <c r="P71" s="26"/>
      <c r="Q71" s="26"/>
    </row>
    <row r="72" spans="1:17" s="36" customFormat="1" ht="37.5">
      <c r="A72" s="27" t="s">
        <v>249</v>
      </c>
      <c r="B72" s="28" t="s">
        <v>235</v>
      </c>
      <c r="C72" s="80">
        <f t="shared" si="7"/>
        <v>15627</v>
      </c>
      <c r="D72" s="26"/>
      <c r="E72" s="26">
        <f>'PL37'!D70</f>
        <v>15627</v>
      </c>
      <c r="F72" s="26"/>
      <c r="G72" s="26"/>
      <c r="H72" s="26"/>
      <c r="I72" s="26"/>
      <c r="J72" s="26"/>
      <c r="K72" s="26"/>
      <c r="L72" s="26"/>
      <c r="M72" s="26"/>
      <c r="N72" s="26"/>
      <c r="O72" s="26"/>
      <c r="P72" s="26"/>
      <c r="Q72" s="26"/>
    </row>
    <row r="73" spans="1:17" s="36" customFormat="1" ht="18.75">
      <c r="A73" s="27" t="s">
        <v>19</v>
      </c>
      <c r="B73" s="28" t="s">
        <v>236</v>
      </c>
      <c r="C73" s="80">
        <f t="shared" si="7"/>
        <v>130</v>
      </c>
      <c r="D73" s="26"/>
      <c r="E73" s="26">
        <f>'PL37'!D71</f>
        <v>130</v>
      </c>
      <c r="F73" s="26"/>
      <c r="G73" s="26"/>
      <c r="H73" s="26"/>
      <c r="I73" s="26"/>
      <c r="J73" s="26"/>
      <c r="K73" s="26"/>
      <c r="L73" s="26"/>
      <c r="M73" s="26"/>
      <c r="N73" s="26"/>
      <c r="O73" s="26"/>
      <c r="P73" s="26"/>
      <c r="Q73" s="26"/>
    </row>
    <row r="74" spans="1:17" s="36" customFormat="1" ht="18.75">
      <c r="A74" s="27" t="s">
        <v>19</v>
      </c>
      <c r="B74" s="28" t="s">
        <v>237</v>
      </c>
      <c r="C74" s="80">
        <f t="shared" si="7"/>
        <v>137</v>
      </c>
      <c r="D74" s="26"/>
      <c r="E74" s="26">
        <f>'PL37'!D72</f>
        <v>137</v>
      </c>
      <c r="F74" s="26"/>
      <c r="G74" s="26"/>
      <c r="H74" s="26"/>
      <c r="I74" s="26"/>
      <c r="J74" s="26"/>
      <c r="K74" s="26"/>
      <c r="L74" s="26"/>
      <c r="M74" s="26"/>
      <c r="N74" s="26"/>
      <c r="O74" s="26"/>
      <c r="P74" s="26"/>
      <c r="Q74" s="26"/>
    </row>
    <row r="75" spans="1:17" s="36" customFormat="1" ht="18.75">
      <c r="A75" s="27" t="s">
        <v>19</v>
      </c>
      <c r="B75" s="28" t="s">
        <v>238</v>
      </c>
      <c r="C75" s="80">
        <f t="shared" si="7"/>
        <v>161</v>
      </c>
      <c r="D75" s="26"/>
      <c r="E75" s="26">
        <f>'PL37'!D73</f>
        <v>161</v>
      </c>
      <c r="F75" s="26"/>
      <c r="G75" s="26"/>
      <c r="H75" s="26"/>
      <c r="I75" s="26"/>
      <c r="J75" s="26"/>
      <c r="K75" s="26"/>
      <c r="L75" s="26"/>
      <c r="M75" s="26"/>
      <c r="N75" s="26"/>
      <c r="O75" s="26"/>
      <c r="P75" s="26"/>
      <c r="Q75" s="26"/>
    </row>
    <row r="76" spans="1:17" s="36" customFormat="1" ht="18.75">
      <c r="A76" s="27" t="s">
        <v>19</v>
      </c>
      <c r="B76" s="28" t="s">
        <v>239</v>
      </c>
      <c r="C76" s="80">
        <f t="shared" si="7"/>
        <v>98</v>
      </c>
      <c r="D76" s="26"/>
      <c r="E76" s="26">
        <f>'PL37'!D74</f>
        <v>98</v>
      </c>
      <c r="F76" s="26"/>
      <c r="G76" s="26"/>
      <c r="H76" s="26"/>
      <c r="I76" s="26"/>
      <c r="J76" s="26"/>
      <c r="K76" s="26"/>
      <c r="L76" s="26"/>
      <c r="M76" s="26"/>
      <c r="N76" s="26"/>
      <c r="O76" s="26"/>
      <c r="P76" s="26"/>
      <c r="Q76" s="26"/>
    </row>
    <row r="77" spans="1:17" s="36" customFormat="1" ht="18.75">
      <c r="A77" s="27" t="s">
        <v>19</v>
      </c>
      <c r="B77" s="28" t="s">
        <v>240</v>
      </c>
      <c r="C77" s="80">
        <f t="shared" si="7"/>
        <v>74</v>
      </c>
      <c r="D77" s="26"/>
      <c r="E77" s="26">
        <f>'PL37'!D75</f>
        <v>74</v>
      </c>
      <c r="F77" s="26"/>
      <c r="G77" s="26"/>
      <c r="H77" s="26"/>
      <c r="I77" s="26"/>
      <c r="J77" s="26"/>
      <c r="K77" s="26"/>
      <c r="L77" s="26"/>
      <c r="M77" s="26"/>
      <c r="N77" s="26"/>
      <c r="O77" s="26"/>
      <c r="P77" s="26"/>
      <c r="Q77" s="26"/>
    </row>
    <row r="78" spans="1:17" s="36" customFormat="1" ht="18.75">
      <c r="A78" s="27" t="s">
        <v>19</v>
      </c>
      <c r="B78" s="28" t="s">
        <v>241</v>
      </c>
      <c r="C78" s="80">
        <f t="shared" si="7"/>
        <v>827</v>
      </c>
      <c r="D78" s="26"/>
      <c r="E78" s="26">
        <f>'PL37'!D76</f>
        <v>827</v>
      </c>
      <c r="F78" s="26"/>
      <c r="G78" s="26"/>
      <c r="H78" s="26"/>
      <c r="I78" s="26"/>
      <c r="J78" s="26"/>
      <c r="K78" s="26"/>
      <c r="L78" s="26"/>
      <c r="M78" s="26"/>
      <c r="N78" s="26"/>
      <c r="O78" s="26"/>
      <c r="P78" s="26"/>
      <c r="Q78" s="26"/>
    </row>
    <row r="79" spans="1:17" s="36" customFormat="1" ht="18.75">
      <c r="A79" s="27" t="s">
        <v>19</v>
      </c>
      <c r="B79" s="28" t="s">
        <v>242</v>
      </c>
      <c r="C79" s="80">
        <f t="shared" ref="C79:C123" si="10">D79+E79+F79+G79+H79+I79+J79+K79+N79+Q79</f>
        <v>216</v>
      </c>
      <c r="D79" s="26"/>
      <c r="E79" s="26">
        <f>'PL37'!D77</f>
        <v>216</v>
      </c>
      <c r="F79" s="26"/>
      <c r="G79" s="26"/>
      <c r="H79" s="26"/>
      <c r="I79" s="26"/>
      <c r="J79" s="26"/>
      <c r="K79" s="26"/>
      <c r="L79" s="26"/>
      <c r="M79" s="26"/>
      <c r="N79" s="26"/>
      <c r="O79" s="26"/>
      <c r="P79" s="26"/>
      <c r="Q79" s="26"/>
    </row>
    <row r="80" spans="1:17" s="36" customFormat="1" ht="18.75">
      <c r="A80" s="27" t="s">
        <v>19</v>
      </c>
      <c r="B80" s="28" t="s">
        <v>243</v>
      </c>
      <c r="C80" s="80">
        <f t="shared" si="10"/>
        <v>645</v>
      </c>
      <c r="D80" s="26"/>
      <c r="E80" s="26">
        <f>'PL37'!D78</f>
        <v>645</v>
      </c>
      <c r="F80" s="26"/>
      <c r="G80" s="26"/>
      <c r="H80" s="26"/>
      <c r="I80" s="26"/>
      <c r="J80" s="26"/>
      <c r="K80" s="26"/>
      <c r="L80" s="26"/>
      <c r="M80" s="26"/>
      <c r="N80" s="26"/>
      <c r="O80" s="26"/>
      <c r="P80" s="26"/>
      <c r="Q80" s="26"/>
    </row>
    <row r="81" spans="1:17" s="36" customFormat="1" ht="18.75">
      <c r="A81" s="27" t="s">
        <v>19</v>
      </c>
      <c r="B81" s="28" t="s">
        <v>244</v>
      </c>
      <c r="C81" s="80">
        <f t="shared" si="10"/>
        <v>1910</v>
      </c>
      <c r="D81" s="26"/>
      <c r="E81" s="26">
        <f>'PL37'!D79</f>
        <v>1910</v>
      </c>
      <c r="F81" s="26"/>
      <c r="G81" s="26"/>
      <c r="H81" s="26"/>
      <c r="I81" s="26"/>
      <c r="J81" s="26"/>
      <c r="K81" s="26"/>
      <c r="L81" s="26"/>
      <c r="M81" s="26"/>
      <c r="N81" s="26"/>
      <c r="O81" s="26"/>
      <c r="P81" s="26"/>
      <c r="Q81" s="26"/>
    </row>
    <row r="82" spans="1:17" s="36" customFormat="1" ht="18.75">
      <c r="A82" s="27" t="s">
        <v>19</v>
      </c>
      <c r="B82" s="28" t="s">
        <v>245</v>
      </c>
      <c r="C82" s="80">
        <f t="shared" si="10"/>
        <v>3179</v>
      </c>
      <c r="D82" s="26"/>
      <c r="E82" s="26">
        <f>'PL37'!D80</f>
        <v>3179</v>
      </c>
      <c r="F82" s="26"/>
      <c r="G82" s="26"/>
      <c r="H82" s="26"/>
      <c r="I82" s="26"/>
      <c r="J82" s="26"/>
      <c r="K82" s="26"/>
      <c r="L82" s="26"/>
      <c r="M82" s="26"/>
      <c r="N82" s="26"/>
      <c r="O82" s="26"/>
      <c r="P82" s="26"/>
      <c r="Q82" s="26"/>
    </row>
    <row r="83" spans="1:17" s="36" customFormat="1" ht="18.75">
      <c r="A83" s="27" t="s">
        <v>19</v>
      </c>
      <c r="B83" s="28" t="s">
        <v>246</v>
      </c>
      <c r="C83" s="80">
        <f t="shared" si="10"/>
        <v>4778</v>
      </c>
      <c r="D83" s="26"/>
      <c r="E83" s="26">
        <f>'PL37'!D81</f>
        <v>4778</v>
      </c>
      <c r="F83" s="26"/>
      <c r="G83" s="26"/>
      <c r="H83" s="26"/>
      <c r="I83" s="26"/>
      <c r="J83" s="26"/>
      <c r="K83" s="26"/>
      <c r="L83" s="26"/>
      <c r="M83" s="26"/>
      <c r="N83" s="26"/>
      <c r="O83" s="26"/>
      <c r="P83" s="26"/>
      <c r="Q83" s="26"/>
    </row>
    <row r="84" spans="1:17" s="36" customFormat="1" ht="18.75">
      <c r="A84" s="27" t="s">
        <v>19</v>
      </c>
      <c r="B84" s="28" t="s">
        <v>247</v>
      </c>
      <c r="C84" s="80">
        <f t="shared" si="10"/>
        <v>2927</v>
      </c>
      <c r="D84" s="26"/>
      <c r="E84" s="26">
        <f>'PL37'!D82</f>
        <v>2927</v>
      </c>
      <c r="F84" s="26"/>
      <c r="G84" s="26"/>
      <c r="H84" s="26"/>
      <c r="I84" s="26"/>
      <c r="J84" s="26"/>
      <c r="K84" s="26"/>
      <c r="L84" s="26"/>
      <c r="M84" s="26"/>
      <c r="N84" s="26"/>
      <c r="O84" s="26"/>
      <c r="P84" s="26"/>
      <c r="Q84" s="26"/>
    </row>
    <row r="85" spans="1:17" s="36" customFormat="1" ht="18.75">
      <c r="A85" s="27" t="s">
        <v>19</v>
      </c>
      <c r="B85" s="28" t="s">
        <v>248</v>
      </c>
      <c r="C85" s="80">
        <f t="shared" si="10"/>
        <v>545</v>
      </c>
      <c r="D85" s="26"/>
      <c r="E85" s="26">
        <f>'PL37'!D83</f>
        <v>545</v>
      </c>
      <c r="F85" s="26"/>
      <c r="G85" s="26"/>
      <c r="H85" s="26"/>
      <c r="I85" s="26"/>
      <c r="J85" s="26"/>
      <c r="K85" s="26"/>
      <c r="L85" s="26"/>
      <c r="M85" s="26"/>
      <c r="N85" s="26"/>
      <c r="O85" s="26"/>
      <c r="P85" s="26"/>
      <c r="Q85" s="26"/>
    </row>
    <row r="86" spans="1:17" s="36" customFormat="1" ht="37.5">
      <c r="A86" s="27" t="s">
        <v>251</v>
      </c>
      <c r="B86" s="28" t="s">
        <v>319</v>
      </c>
      <c r="C86" s="80">
        <f t="shared" si="10"/>
        <v>270</v>
      </c>
      <c r="D86" s="26"/>
      <c r="E86" s="26">
        <f>'PL37'!D84</f>
        <v>270</v>
      </c>
      <c r="F86" s="26"/>
      <c r="G86" s="26"/>
      <c r="H86" s="26"/>
      <c r="I86" s="26"/>
      <c r="J86" s="26"/>
      <c r="K86" s="26"/>
      <c r="L86" s="26"/>
      <c r="M86" s="26"/>
      <c r="N86" s="26"/>
      <c r="O86" s="26"/>
      <c r="P86" s="26"/>
      <c r="Q86" s="26"/>
    </row>
    <row r="87" spans="1:17" s="36" customFormat="1" ht="18.75">
      <c r="A87" s="27" t="s">
        <v>19</v>
      </c>
      <c r="B87" s="28" t="s">
        <v>252</v>
      </c>
      <c r="C87" s="80">
        <f t="shared" si="10"/>
        <v>27</v>
      </c>
      <c r="D87" s="26"/>
      <c r="E87" s="26">
        <f>'PL37'!D85</f>
        <v>27</v>
      </c>
      <c r="F87" s="26"/>
      <c r="G87" s="26"/>
      <c r="H87" s="26"/>
      <c r="I87" s="26"/>
      <c r="J87" s="26"/>
      <c r="K87" s="26"/>
      <c r="L87" s="26"/>
      <c r="M87" s="26"/>
      <c r="N87" s="26"/>
      <c r="O87" s="26"/>
      <c r="P87" s="26"/>
      <c r="Q87" s="26"/>
    </row>
    <row r="88" spans="1:17" s="36" customFormat="1" ht="18.75">
      <c r="A88" s="27" t="s">
        <v>19</v>
      </c>
      <c r="B88" s="28" t="s">
        <v>320</v>
      </c>
      <c r="C88" s="80">
        <f t="shared" si="10"/>
        <v>27</v>
      </c>
      <c r="D88" s="26"/>
      <c r="E88" s="26">
        <f>'PL37'!D86</f>
        <v>27</v>
      </c>
      <c r="F88" s="26"/>
      <c r="G88" s="26"/>
      <c r="H88" s="26"/>
      <c r="I88" s="26"/>
      <c r="J88" s="26"/>
      <c r="K88" s="26"/>
      <c r="L88" s="26"/>
      <c r="M88" s="26"/>
      <c r="N88" s="26"/>
      <c r="O88" s="26"/>
      <c r="P88" s="26"/>
      <c r="Q88" s="26"/>
    </row>
    <row r="89" spans="1:17" s="36" customFormat="1" ht="18.75">
      <c r="A89" s="27" t="s">
        <v>19</v>
      </c>
      <c r="B89" s="28" t="s">
        <v>321</v>
      </c>
      <c r="C89" s="80">
        <f t="shared" si="10"/>
        <v>27</v>
      </c>
      <c r="D89" s="26"/>
      <c r="E89" s="26">
        <f>'PL37'!D87</f>
        <v>27</v>
      </c>
      <c r="F89" s="26"/>
      <c r="G89" s="26"/>
      <c r="H89" s="26"/>
      <c r="I89" s="26"/>
      <c r="J89" s="26"/>
      <c r="K89" s="26"/>
      <c r="L89" s="26"/>
      <c r="M89" s="26"/>
      <c r="N89" s="26"/>
      <c r="O89" s="26"/>
      <c r="P89" s="26"/>
      <c r="Q89" s="26"/>
    </row>
    <row r="90" spans="1:17" s="36" customFormat="1" ht="18.75">
      <c r="A90" s="27" t="s">
        <v>19</v>
      </c>
      <c r="B90" s="28" t="s">
        <v>322</v>
      </c>
      <c r="C90" s="80">
        <f t="shared" si="10"/>
        <v>27</v>
      </c>
      <c r="D90" s="26"/>
      <c r="E90" s="26">
        <f>'PL37'!D88</f>
        <v>27</v>
      </c>
      <c r="F90" s="26"/>
      <c r="G90" s="26"/>
      <c r="H90" s="26"/>
      <c r="I90" s="26"/>
      <c r="J90" s="26"/>
      <c r="K90" s="26"/>
      <c r="L90" s="26"/>
      <c r="M90" s="26"/>
      <c r="N90" s="26"/>
      <c r="O90" s="26"/>
      <c r="P90" s="26"/>
      <c r="Q90" s="26"/>
    </row>
    <row r="91" spans="1:17" s="36" customFormat="1" ht="18.75">
      <c r="A91" s="27" t="s">
        <v>19</v>
      </c>
      <c r="B91" s="28" t="s">
        <v>323</v>
      </c>
      <c r="C91" s="80">
        <f t="shared" si="10"/>
        <v>27</v>
      </c>
      <c r="D91" s="26"/>
      <c r="E91" s="26">
        <f>'PL37'!D89</f>
        <v>27</v>
      </c>
      <c r="F91" s="26"/>
      <c r="G91" s="26"/>
      <c r="H91" s="26"/>
      <c r="I91" s="26"/>
      <c r="J91" s="26"/>
      <c r="K91" s="26"/>
      <c r="L91" s="26"/>
      <c r="M91" s="26"/>
      <c r="N91" s="26"/>
      <c r="O91" s="26"/>
      <c r="P91" s="26"/>
      <c r="Q91" s="26"/>
    </row>
    <row r="92" spans="1:17" s="36" customFormat="1" ht="18.75">
      <c r="A92" s="27" t="s">
        <v>19</v>
      </c>
      <c r="B92" s="28" t="s">
        <v>324</v>
      </c>
      <c r="C92" s="80">
        <f t="shared" si="10"/>
        <v>27</v>
      </c>
      <c r="D92" s="26"/>
      <c r="E92" s="26">
        <f>'PL37'!D90</f>
        <v>27</v>
      </c>
      <c r="F92" s="26"/>
      <c r="G92" s="26"/>
      <c r="H92" s="26"/>
      <c r="I92" s="26"/>
      <c r="J92" s="26"/>
      <c r="K92" s="26"/>
      <c r="L92" s="26"/>
      <c r="M92" s="26"/>
      <c r="N92" s="26"/>
      <c r="O92" s="26"/>
      <c r="P92" s="26"/>
      <c r="Q92" s="26"/>
    </row>
    <row r="93" spans="1:17" s="36" customFormat="1" ht="18.75">
      <c r="A93" s="27" t="s">
        <v>19</v>
      </c>
      <c r="B93" s="28" t="s">
        <v>325</v>
      </c>
      <c r="C93" s="80">
        <f t="shared" si="10"/>
        <v>27</v>
      </c>
      <c r="D93" s="26"/>
      <c r="E93" s="26">
        <f>'PL37'!D91</f>
        <v>27</v>
      </c>
      <c r="F93" s="26"/>
      <c r="G93" s="26"/>
      <c r="H93" s="26"/>
      <c r="I93" s="26"/>
      <c r="J93" s="26"/>
      <c r="K93" s="26"/>
      <c r="L93" s="26"/>
      <c r="M93" s="26"/>
      <c r="N93" s="26"/>
      <c r="O93" s="26"/>
      <c r="P93" s="26"/>
      <c r="Q93" s="26"/>
    </row>
    <row r="94" spans="1:17" s="36" customFormat="1" ht="18.75">
      <c r="A94" s="27" t="s">
        <v>19</v>
      </c>
      <c r="B94" s="28" t="s">
        <v>326</v>
      </c>
      <c r="C94" s="80">
        <f t="shared" si="10"/>
        <v>27</v>
      </c>
      <c r="D94" s="26"/>
      <c r="E94" s="26">
        <f>'PL37'!D92</f>
        <v>27</v>
      </c>
      <c r="F94" s="26"/>
      <c r="G94" s="26"/>
      <c r="H94" s="26"/>
      <c r="I94" s="26"/>
      <c r="J94" s="26"/>
      <c r="K94" s="26"/>
      <c r="L94" s="26"/>
      <c r="M94" s="26"/>
      <c r="N94" s="26"/>
      <c r="O94" s="26"/>
      <c r="P94" s="26"/>
      <c r="Q94" s="26"/>
    </row>
    <row r="95" spans="1:17" s="36" customFormat="1" ht="18.75">
      <c r="A95" s="27" t="s">
        <v>19</v>
      </c>
      <c r="B95" s="28" t="s">
        <v>327</v>
      </c>
      <c r="C95" s="80">
        <f t="shared" si="10"/>
        <v>27</v>
      </c>
      <c r="D95" s="26"/>
      <c r="E95" s="26">
        <f>'PL37'!D93</f>
        <v>27</v>
      </c>
      <c r="F95" s="26"/>
      <c r="G95" s="26"/>
      <c r="H95" s="26"/>
      <c r="I95" s="26"/>
      <c r="J95" s="26"/>
      <c r="K95" s="26"/>
      <c r="L95" s="26"/>
      <c r="M95" s="26"/>
      <c r="N95" s="26"/>
      <c r="O95" s="26"/>
      <c r="P95" s="26"/>
      <c r="Q95" s="26"/>
    </row>
    <row r="96" spans="1:17" s="36" customFormat="1" ht="18.75">
      <c r="A96" s="27" t="s">
        <v>19</v>
      </c>
      <c r="B96" s="28" t="s">
        <v>328</v>
      </c>
      <c r="C96" s="80">
        <f t="shared" si="10"/>
        <v>27</v>
      </c>
      <c r="D96" s="26"/>
      <c r="E96" s="26">
        <f>'PL37'!D94</f>
        <v>27</v>
      </c>
      <c r="F96" s="26"/>
      <c r="G96" s="26"/>
      <c r="H96" s="26"/>
      <c r="I96" s="26"/>
      <c r="J96" s="26"/>
      <c r="K96" s="26"/>
      <c r="L96" s="26"/>
      <c r="M96" s="26"/>
      <c r="N96" s="26"/>
      <c r="O96" s="26"/>
      <c r="P96" s="26"/>
      <c r="Q96" s="26"/>
    </row>
    <row r="97" spans="1:17" s="36" customFormat="1" ht="56.25">
      <c r="A97" s="27" t="s">
        <v>253</v>
      </c>
      <c r="B97" s="28" t="s">
        <v>180</v>
      </c>
      <c r="C97" s="80">
        <f t="shared" si="10"/>
        <v>101741</v>
      </c>
      <c r="D97" s="26">
        <f>PL36_TCDT!C17</f>
        <v>101741</v>
      </c>
      <c r="E97" s="26"/>
      <c r="F97" s="26"/>
      <c r="G97" s="26"/>
      <c r="H97" s="26"/>
      <c r="I97" s="26"/>
      <c r="J97" s="26"/>
      <c r="K97" s="26"/>
      <c r="L97" s="26"/>
      <c r="M97" s="26"/>
      <c r="N97" s="26"/>
      <c r="O97" s="26"/>
      <c r="P97" s="26"/>
      <c r="Q97" s="26"/>
    </row>
    <row r="98" spans="1:17" s="36" customFormat="1" ht="18.75">
      <c r="A98" s="27" t="s">
        <v>865</v>
      </c>
      <c r="B98" s="28" t="s">
        <v>190</v>
      </c>
      <c r="C98" s="80">
        <f t="shared" si="10"/>
        <v>12800</v>
      </c>
      <c r="D98" s="26">
        <f>PL36_TCDT!C22</f>
        <v>12800</v>
      </c>
      <c r="E98" s="26"/>
      <c r="F98" s="26"/>
      <c r="G98" s="26"/>
      <c r="H98" s="26"/>
      <c r="I98" s="26"/>
      <c r="J98" s="26"/>
      <c r="K98" s="26"/>
      <c r="L98" s="26"/>
      <c r="M98" s="26"/>
      <c r="N98" s="26"/>
      <c r="O98" s="26"/>
      <c r="P98" s="26"/>
      <c r="Q98" s="26"/>
    </row>
    <row r="99" spans="1:17" s="36" customFormat="1" ht="18.75">
      <c r="A99" s="27" t="s">
        <v>866</v>
      </c>
      <c r="B99" s="28" t="s">
        <v>857</v>
      </c>
      <c r="C99" s="80">
        <f t="shared" si="10"/>
        <v>4484</v>
      </c>
      <c r="D99" s="26">
        <f>PL36_TCDT!C23</f>
        <v>4484</v>
      </c>
      <c r="E99" s="26"/>
      <c r="F99" s="26"/>
      <c r="G99" s="26"/>
      <c r="H99" s="26"/>
      <c r="I99" s="26"/>
      <c r="J99" s="26"/>
      <c r="K99" s="26"/>
      <c r="L99" s="26"/>
      <c r="M99" s="26"/>
      <c r="N99" s="26"/>
      <c r="O99" s="26"/>
      <c r="P99" s="26"/>
      <c r="Q99" s="26"/>
    </row>
    <row r="100" spans="1:17" s="36" customFormat="1" ht="18.75">
      <c r="A100" s="27" t="s">
        <v>867</v>
      </c>
      <c r="B100" s="28" t="s">
        <v>712</v>
      </c>
      <c r="C100" s="80">
        <f t="shared" si="10"/>
        <v>15000</v>
      </c>
      <c r="D100" s="26">
        <f>PL36_TCDT!C24</f>
        <v>15000</v>
      </c>
      <c r="E100" s="26"/>
      <c r="F100" s="26"/>
      <c r="G100" s="26"/>
      <c r="H100" s="26"/>
      <c r="I100" s="26"/>
      <c r="J100" s="26"/>
      <c r="K100" s="26"/>
      <c r="L100" s="26"/>
      <c r="M100" s="26"/>
      <c r="N100" s="26"/>
      <c r="O100" s="26"/>
      <c r="P100" s="26"/>
      <c r="Q100" s="26"/>
    </row>
    <row r="101" spans="1:17" s="36" customFormat="1" ht="18.75">
      <c r="A101" s="27" t="s">
        <v>868</v>
      </c>
      <c r="B101" s="28" t="s">
        <v>855</v>
      </c>
      <c r="C101" s="80">
        <f t="shared" si="10"/>
        <v>12042</v>
      </c>
      <c r="D101" s="26">
        <f>PL36_TCDT!C25</f>
        <v>12042</v>
      </c>
      <c r="E101" s="26"/>
      <c r="F101" s="26"/>
      <c r="G101" s="26"/>
      <c r="H101" s="26"/>
      <c r="I101" s="26"/>
      <c r="J101" s="26"/>
      <c r="K101" s="26"/>
      <c r="L101" s="26"/>
      <c r="M101" s="26"/>
      <c r="N101" s="26"/>
      <c r="O101" s="26"/>
      <c r="P101" s="26"/>
      <c r="Q101" s="26"/>
    </row>
    <row r="102" spans="1:17" s="36" customFormat="1" ht="18.75">
      <c r="A102" s="27" t="s">
        <v>869</v>
      </c>
      <c r="B102" s="28" t="s">
        <v>188</v>
      </c>
      <c r="C102" s="80">
        <f t="shared" si="10"/>
        <v>0</v>
      </c>
      <c r="D102" s="26"/>
      <c r="E102" s="26"/>
      <c r="F102" s="26"/>
      <c r="G102" s="26"/>
      <c r="H102" s="26"/>
      <c r="I102" s="26"/>
      <c r="J102" s="26"/>
      <c r="K102" s="26"/>
      <c r="L102" s="26"/>
      <c r="M102" s="26"/>
      <c r="N102" s="26"/>
      <c r="O102" s="26"/>
      <c r="P102" s="26"/>
      <c r="Q102" s="26"/>
    </row>
    <row r="103" spans="1:17" s="36" customFormat="1" ht="37.5">
      <c r="A103" s="27" t="s">
        <v>870</v>
      </c>
      <c r="B103" s="28" t="s">
        <v>864</v>
      </c>
      <c r="C103" s="80">
        <f t="shared" si="10"/>
        <v>44594</v>
      </c>
      <c r="D103" s="26">
        <f>PL36_TCDT!C26+PL36_TCDT!C27+PL36_TCDT!C28</f>
        <v>44594</v>
      </c>
      <c r="E103" s="26"/>
      <c r="F103" s="26"/>
      <c r="G103" s="26"/>
      <c r="H103" s="26"/>
      <c r="I103" s="26"/>
      <c r="J103" s="26"/>
      <c r="K103" s="26"/>
      <c r="L103" s="26"/>
      <c r="M103" s="26"/>
      <c r="N103" s="26"/>
      <c r="O103" s="26"/>
      <c r="P103" s="26"/>
      <c r="Q103" s="26"/>
    </row>
    <row r="104" spans="1:17" s="83" customFormat="1" ht="37.5">
      <c r="A104" s="81">
        <v>4</v>
      </c>
      <c r="B104" s="82" t="s">
        <v>1214</v>
      </c>
      <c r="C104" s="78">
        <f t="shared" si="10"/>
        <v>13274</v>
      </c>
      <c r="D104" s="78"/>
      <c r="E104" s="78">
        <f>'PL37'!D95</f>
        <v>13274</v>
      </c>
      <c r="F104" s="78"/>
      <c r="G104" s="78"/>
      <c r="H104" s="78"/>
      <c r="I104" s="78"/>
      <c r="J104" s="78"/>
      <c r="K104" s="78"/>
      <c r="L104" s="78"/>
      <c r="M104" s="78"/>
      <c r="N104" s="78"/>
      <c r="O104" s="78"/>
      <c r="P104" s="78"/>
      <c r="Q104" s="78"/>
    </row>
    <row r="105" spans="1:17" s="83" customFormat="1" ht="37.5" hidden="1" outlineLevel="1">
      <c r="A105" s="81">
        <v>5</v>
      </c>
      <c r="B105" s="82" t="s">
        <v>329</v>
      </c>
      <c r="C105" s="78">
        <f t="shared" si="10"/>
        <v>0</v>
      </c>
      <c r="D105" s="78"/>
      <c r="E105" s="78">
        <f>'PL37'!D96</f>
        <v>0</v>
      </c>
      <c r="F105" s="78"/>
      <c r="G105" s="78"/>
      <c r="H105" s="78"/>
      <c r="I105" s="78"/>
      <c r="J105" s="78"/>
      <c r="K105" s="78"/>
      <c r="L105" s="78"/>
      <c r="M105" s="78"/>
      <c r="N105" s="78"/>
      <c r="O105" s="78"/>
      <c r="P105" s="78"/>
      <c r="Q105" s="78"/>
    </row>
    <row r="106" spans="1:17" s="83" customFormat="1" ht="18.75" collapsed="1">
      <c r="A106" s="81">
        <v>5</v>
      </c>
      <c r="B106" s="82" t="s">
        <v>1215</v>
      </c>
      <c r="C106" s="78">
        <f t="shared" si="10"/>
        <v>28501</v>
      </c>
      <c r="D106" s="78"/>
      <c r="E106" s="78">
        <f>'PL37'!D97</f>
        <v>28501</v>
      </c>
      <c r="F106" s="78"/>
      <c r="G106" s="78"/>
      <c r="H106" s="78"/>
      <c r="I106" s="78"/>
      <c r="J106" s="78"/>
      <c r="K106" s="78"/>
      <c r="L106" s="78"/>
      <c r="M106" s="78"/>
      <c r="N106" s="78"/>
      <c r="O106" s="78"/>
      <c r="P106" s="78"/>
      <c r="Q106" s="78"/>
    </row>
    <row r="107" spans="1:17" s="83" customFormat="1" ht="18.75">
      <c r="A107" s="11" t="s">
        <v>19</v>
      </c>
      <c r="B107" s="106" t="s">
        <v>333</v>
      </c>
      <c r="C107" s="80">
        <f t="shared" si="10"/>
        <v>3000</v>
      </c>
      <c r="D107" s="78"/>
      <c r="E107" s="26">
        <f>'PL37'!C98</f>
        <v>3000</v>
      </c>
      <c r="F107" s="78"/>
      <c r="G107" s="78"/>
      <c r="H107" s="78"/>
      <c r="I107" s="78"/>
      <c r="J107" s="78"/>
      <c r="K107" s="78"/>
      <c r="L107" s="78"/>
      <c r="M107" s="78"/>
      <c r="N107" s="78"/>
      <c r="O107" s="78"/>
      <c r="P107" s="78"/>
      <c r="Q107" s="78"/>
    </row>
    <row r="108" spans="1:17" s="83" customFormat="1" ht="37.5">
      <c r="A108" s="11" t="s">
        <v>19</v>
      </c>
      <c r="B108" s="106" t="s">
        <v>334</v>
      </c>
      <c r="C108" s="80">
        <f t="shared" si="10"/>
        <v>3678</v>
      </c>
      <c r="D108" s="78"/>
      <c r="E108" s="26">
        <f>'PL37'!C99</f>
        <v>3678</v>
      </c>
      <c r="F108" s="78"/>
      <c r="G108" s="78"/>
      <c r="H108" s="78"/>
      <c r="I108" s="78"/>
      <c r="J108" s="78"/>
      <c r="K108" s="78"/>
      <c r="L108" s="78"/>
      <c r="M108" s="78"/>
      <c r="N108" s="78"/>
      <c r="O108" s="78"/>
      <c r="P108" s="78"/>
      <c r="Q108" s="78"/>
    </row>
    <row r="109" spans="1:17" s="83" customFormat="1" ht="18.75">
      <c r="A109" s="11" t="s">
        <v>19</v>
      </c>
      <c r="B109" s="106" t="s">
        <v>335</v>
      </c>
      <c r="C109" s="80">
        <f t="shared" si="10"/>
        <v>1999</v>
      </c>
      <c r="D109" s="78"/>
      <c r="E109" s="26">
        <f>'PL37'!C100</f>
        <v>1999</v>
      </c>
      <c r="F109" s="78"/>
      <c r="G109" s="78"/>
      <c r="H109" s="78"/>
      <c r="I109" s="78"/>
      <c r="J109" s="78"/>
      <c r="K109" s="78"/>
      <c r="L109" s="78"/>
      <c r="M109" s="78"/>
      <c r="N109" s="78"/>
      <c r="O109" s="78"/>
      <c r="P109" s="78"/>
      <c r="Q109" s="78"/>
    </row>
    <row r="110" spans="1:17" s="83" customFormat="1" ht="56.25" hidden="1">
      <c r="A110" s="11" t="s">
        <v>19</v>
      </c>
      <c r="B110" s="106" t="s">
        <v>336</v>
      </c>
      <c r="C110" s="80">
        <f t="shared" si="10"/>
        <v>0</v>
      </c>
      <c r="D110" s="78"/>
      <c r="E110" s="26">
        <f>'PL37'!C101</f>
        <v>0</v>
      </c>
      <c r="F110" s="78"/>
      <c r="G110" s="78"/>
      <c r="H110" s="78"/>
      <c r="I110" s="78"/>
      <c r="J110" s="78"/>
      <c r="K110" s="78"/>
      <c r="L110" s="78"/>
      <c r="M110" s="78"/>
      <c r="N110" s="78"/>
      <c r="O110" s="78"/>
      <c r="P110" s="78"/>
      <c r="Q110" s="78"/>
    </row>
    <row r="111" spans="1:17" s="83" customFormat="1" ht="56.25">
      <c r="A111" s="11" t="s">
        <v>19</v>
      </c>
      <c r="B111" s="106" t="s">
        <v>337</v>
      </c>
      <c r="C111" s="80">
        <f t="shared" si="10"/>
        <v>4000</v>
      </c>
      <c r="D111" s="78"/>
      <c r="E111" s="26">
        <f>'PL37'!C102</f>
        <v>4000</v>
      </c>
      <c r="F111" s="78"/>
      <c r="G111" s="78"/>
      <c r="H111" s="78"/>
      <c r="I111" s="78"/>
      <c r="J111" s="78"/>
      <c r="K111" s="78"/>
      <c r="L111" s="78"/>
      <c r="M111" s="78"/>
      <c r="N111" s="78"/>
      <c r="O111" s="78"/>
      <c r="P111" s="78"/>
      <c r="Q111" s="78"/>
    </row>
    <row r="112" spans="1:17" s="83" customFormat="1" ht="37.5">
      <c r="A112" s="11" t="s">
        <v>19</v>
      </c>
      <c r="B112" s="106" t="s">
        <v>338</v>
      </c>
      <c r="C112" s="80">
        <f t="shared" si="10"/>
        <v>7000</v>
      </c>
      <c r="D112" s="78"/>
      <c r="E112" s="26">
        <f>'PL37'!C103</f>
        <v>7000</v>
      </c>
      <c r="F112" s="78"/>
      <c r="G112" s="78"/>
      <c r="H112" s="78"/>
      <c r="I112" s="78"/>
      <c r="J112" s="78"/>
      <c r="K112" s="78"/>
      <c r="L112" s="78"/>
      <c r="M112" s="78"/>
      <c r="N112" s="78"/>
      <c r="O112" s="78"/>
      <c r="P112" s="78"/>
      <c r="Q112" s="78"/>
    </row>
    <row r="113" spans="1:20" s="83" customFormat="1" ht="18.75" hidden="1">
      <c r="A113" s="11" t="s">
        <v>19</v>
      </c>
      <c r="B113" s="106" t="s">
        <v>339</v>
      </c>
      <c r="C113" s="80">
        <f t="shared" si="10"/>
        <v>0</v>
      </c>
      <c r="D113" s="78"/>
      <c r="E113" s="26">
        <f>'PL37'!C104</f>
        <v>0</v>
      </c>
      <c r="F113" s="78"/>
      <c r="G113" s="78"/>
      <c r="H113" s="78"/>
      <c r="I113" s="78"/>
      <c r="J113" s="78"/>
      <c r="K113" s="78"/>
      <c r="L113" s="78"/>
      <c r="M113" s="78"/>
      <c r="N113" s="78"/>
      <c r="O113" s="78"/>
      <c r="P113" s="78"/>
      <c r="Q113" s="78"/>
    </row>
    <row r="114" spans="1:20" s="83" customFormat="1" ht="56.25" hidden="1">
      <c r="A114" s="11" t="s">
        <v>19</v>
      </c>
      <c r="B114" s="106" t="s">
        <v>340</v>
      </c>
      <c r="C114" s="80">
        <f t="shared" si="10"/>
        <v>0</v>
      </c>
      <c r="D114" s="78"/>
      <c r="E114" s="26">
        <f>'PL37'!C105</f>
        <v>0</v>
      </c>
      <c r="F114" s="78"/>
      <c r="G114" s="78"/>
      <c r="H114" s="78"/>
      <c r="I114" s="78"/>
      <c r="J114" s="78"/>
      <c r="K114" s="78"/>
      <c r="L114" s="78"/>
      <c r="M114" s="78"/>
      <c r="N114" s="78"/>
      <c r="O114" s="78"/>
      <c r="P114" s="78"/>
      <c r="Q114" s="78"/>
    </row>
    <row r="115" spans="1:20" s="83" customFormat="1" ht="112.5">
      <c r="A115" s="11" t="s">
        <v>19</v>
      </c>
      <c r="B115" s="106" t="s">
        <v>341</v>
      </c>
      <c r="C115" s="80">
        <f t="shared" si="10"/>
        <v>8824</v>
      </c>
      <c r="D115" s="78"/>
      <c r="E115" s="26">
        <f>'PL37'!C106</f>
        <v>8824</v>
      </c>
      <c r="F115" s="78"/>
      <c r="G115" s="78"/>
      <c r="H115" s="78"/>
      <c r="I115" s="78"/>
      <c r="J115" s="78"/>
      <c r="K115" s="78"/>
      <c r="L115" s="78"/>
      <c r="M115" s="78"/>
      <c r="N115" s="78"/>
      <c r="O115" s="78"/>
      <c r="P115" s="78"/>
      <c r="Q115" s="78"/>
    </row>
    <row r="116" spans="1:20" s="83" customFormat="1" ht="18.75">
      <c r="A116" s="81">
        <v>6</v>
      </c>
      <c r="B116" s="82" t="s">
        <v>257</v>
      </c>
      <c r="C116" s="78">
        <f t="shared" si="10"/>
        <v>-7669</v>
      </c>
      <c r="D116" s="78"/>
      <c r="E116" s="78">
        <f>'PL37'!D107</f>
        <v>-7669</v>
      </c>
      <c r="F116" s="78"/>
      <c r="G116" s="78"/>
      <c r="H116" s="78"/>
      <c r="I116" s="78"/>
      <c r="J116" s="78"/>
      <c r="K116" s="78"/>
      <c r="L116" s="78"/>
      <c r="M116" s="78"/>
      <c r="N116" s="78"/>
      <c r="O116" s="78"/>
      <c r="P116" s="78"/>
      <c r="Q116" s="78"/>
    </row>
    <row r="117" spans="1:20" s="87" customFormat="1" ht="18.75">
      <c r="A117" s="84" t="s">
        <v>25</v>
      </c>
      <c r="B117" s="85" t="s">
        <v>66</v>
      </c>
      <c r="C117" s="78">
        <f t="shared" si="10"/>
        <v>2300</v>
      </c>
      <c r="D117" s="86"/>
      <c r="E117" s="86"/>
      <c r="F117" s="86">
        <f>'PL34'!C43</f>
        <v>2300</v>
      </c>
      <c r="G117" s="86"/>
      <c r="H117" s="86"/>
      <c r="I117" s="86"/>
      <c r="J117" s="86"/>
      <c r="K117" s="86"/>
      <c r="L117" s="86"/>
      <c r="M117" s="86"/>
      <c r="N117" s="86"/>
      <c r="O117" s="86"/>
      <c r="P117" s="86"/>
      <c r="Q117" s="86"/>
    </row>
    <row r="118" spans="1:20" s="87" customFormat="1" ht="18.75">
      <c r="A118" s="84" t="s">
        <v>32</v>
      </c>
      <c r="B118" s="85" t="s">
        <v>68</v>
      </c>
      <c r="C118" s="78">
        <f t="shared" si="10"/>
        <v>1000</v>
      </c>
      <c r="D118" s="86"/>
      <c r="E118" s="86"/>
      <c r="F118" s="86"/>
      <c r="G118" s="86">
        <f>'PL34'!C44</f>
        <v>1000</v>
      </c>
      <c r="H118" s="86"/>
      <c r="I118" s="86"/>
      <c r="J118" s="86"/>
      <c r="K118" s="86"/>
      <c r="L118" s="86"/>
      <c r="M118" s="86"/>
      <c r="N118" s="86"/>
      <c r="O118" s="86"/>
      <c r="P118" s="86"/>
      <c r="Q118" s="86"/>
    </row>
    <row r="119" spans="1:20" s="87" customFormat="1" ht="18.75">
      <c r="A119" s="88" t="s">
        <v>67</v>
      </c>
      <c r="B119" s="85" t="s">
        <v>70</v>
      </c>
      <c r="C119" s="78">
        <f t="shared" si="10"/>
        <v>91629.42</v>
      </c>
      <c r="D119" s="86"/>
      <c r="E119" s="86"/>
      <c r="F119" s="86"/>
      <c r="G119" s="86"/>
      <c r="H119" s="86">
        <v>91629.42</v>
      </c>
      <c r="I119" s="86"/>
      <c r="J119" s="86"/>
      <c r="K119" s="86"/>
      <c r="L119" s="86"/>
      <c r="M119" s="86"/>
      <c r="N119" s="86"/>
      <c r="O119" s="86"/>
      <c r="P119" s="86"/>
      <c r="Q119" s="86"/>
    </row>
    <row r="120" spans="1:20" s="87" customFormat="1" ht="42.75" customHeight="1">
      <c r="A120" s="84" t="s">
        <v>69</v>
      </c>
      <c r="B120" s="85" t="s">
        <v>72</v>
      </c>
      <c r="C120" s="78">
        <f t="shared" si="10"/>
        <v>1475724.58</v>
      </c>
      <c r="D120" s="86"/>
      <c r="E120" s="86"/>
      <c r="F120" s="86"/>
      <c r="G120" s="86"/>
      <c r="H120" s="86"/>
      <c r="I120" s="86">
        <f>'PL34'!C46</f>
        <v>1475724.58</v>
      </c>
      <c r="J120" s="86"/>
      <c r="K120" s="86"/>
      <c r="L120" s="86"/>
      <c r="M120" s="86"/>
      <c r="N120" s="86"/>
      <c r="O120" s="86"/>
      <c r="P120" s="86"/>
      <c r="Q120" s="86"/>
    </row>
    <row r="121" spans="1:20" s="87" customFormat="1" ht="42.75" customHeight="1">
      <c r="A121" s="84" t="s">
        <v>258</v>
      </c>
      <c r="B121" s="85" t="s">
        <v>74</v>
      </c>
      <c r="C121" s="78">
        <f t="shared" si="10"/>
        <v>7400</v>
      </c>
      <c r="D121" s="86"/>
      <c r="E121" s="86"/>
      <c r="F121" s="86"/>
      <c r="G121" s="86"/>
      <c r="H121" s="86"/>
      <c r="I121" s="86"/>
      <c r="J121" s="86">
        <v>7400</v>
      </c>
      <c r="K121" s="86"/>
      <c r="L121" s="86"/>
      <c r="M121" s="86"/>
      <c r="N121" s="86"/>
      <c r="O121" s="86"/>
      <c r="P121" s="86"/>
      <c r="Q121" s="86"/>
    </row>
    <row r="122" spans="1:20" s="87" customFormat="1" ht="42.75" customHeight="1">
      <c r="A122" s="89" t="s">
        <v>11</v>
      </c>
      <c r="B122" s="90" t="s">
        <v>259</v>
      </c>
      <c r="C122" s="78">
        <f t="shared" si="10"/>
        <v>1774990</v>
      </c>
      <c r="D122" s="91"/>
      <c r="E122" s="91"/>
      <c r="F122" s="91"/>
      <c r="G122" s="91"/>
      <c r="H122" s="91"/>
      <c r="I122" s="91"/>
      <c r="J122" s="91"/>
      <c r="K122" s="91">
        <f>L122+M122</f>
        <v>657402</v>
      </c>
      <c r="L122" s="91">
        <f>'PL17'!D40+'PL17'!D43+'PL17'!D46</f>
        <v>628823</v>
      </c>
      <c r="M122" s="91">
        <f>'PL17'!D41+'PL17'!D44+'PL17'!D47</f>
        <v>28579</v>
      </c>
      <c r="N122" s="91">
        <f>O122+P122</f>
        <v>1117588</v>
      </c>
      <c r="O122" s="91">
        <f>'PL33'!E49</f>
        <v>824064</v>
      </c>
      <c r="P122" s="91">
        <f>'PL37'!T108</f>
        <v>293524</v>
      </c>
      <c r="Q122" s="91"/>
    </row>
    <row r="123" spans="1:20" s="87" customFormat="1" ht="42.75" customHeight="1">
      <c r="A123" s="84" t="s">
        <v>75</v>
      </c>
      <c r="B123" s="85" t="s">
        <v>260</v>
      </c>
      <c r="C123" s="78">
        <f t="shared" si="10"/>
        <v>771042</v>
      </c>
      <c r="D123" s="86"/>
      <c r="E123" s="86"/>
      <c r="F123" s="86"/>
      <c r="G123" s="86"/>
      <c r="H123" s="86"/>
      <c r="I123" s="86"/>
      <c r="J123" s="86"/>
      <c r="K123" s="86"/>
      <c r="L123" s="86"/>
      <c r="M123" s="86"/>
      <c r="N123" s="91">
        <f>O123+P123</f>
        <v>180189</v>
      </c>
      <c r="O123" s="86"/>
      <c r="P123" s="86">
        <v>180189</v>
      </c>
      <c r="Q123" s="86">
        <f>'PL42'!F9+'PL42'!D9</f>
        <v>590853</v>
      </c>
    </row>
    <row r="124" spans="1:20" ht="15.95" customHeight="1">
      <c r="A124" s="62"/>
      <c r="B124" s="92"/>
      <c r="C124" s="62"/>
      <c r="D124" s="62"/>
      <c r="E124" s="62"/>
      <c r="F124" s="62"/>
      <c r="G124" s="62"/>
      <c r="H124" s="62"/>
      <c r="I124" s="62"/>
      <c r="J124" s="62"/>
      <c r="K124" s="62"/>
      <c r="L124" s="62"/>
      <c r="M124" s="62"/>
      <c r="N124" s="62"/>
      <c r="O124" s="62"/>
      <c r="P124" s="62"/>
      <c r="Q124" s="62"/>
    </row>
    <row r="125" spans="1:20" s="5" customFormat="1" ht="18.75">
      <c r="A125" s="71" t="s">
        <v>1211</v>
      </c>
      <c r="B125" s="93"/>
      <c r="C125" s="51"/>
      <c r="D125" s="51"/>
      <c r="E125" s="51"/>
      <c r="F125" s="51"/>
      <c r="G125" s="51"/>
      <c r="H125" s="51"/>
      <c r="I125" s="51"/>
      <c r="J125" s="51"/>
      <c r="K125" s="51"/>
      <c r="L125" s="51"/>
      <c r="M125" s="51"/>
      <c r="N125" s="51"/>
      <c r="O125" s="51"/>
      <c r="P125" s="51"/>
      <c r="Q125" s="51"/>
    </row>
    <row r="126" spans="1:20" s="5" customFormat="1" ht="27" customHeight="1">
      <c r="A126" s="58"/>
      <c r="B126" s="1183" t="s">
        <v>1213</v>
      </c>
      <c r="C126" s="1183"/>
      <c r="D126" s="1183"/>
      <c r="E126" s="1183"/>
      <c r="F126" s="1183"/>
      <c r="G126" s="1183"/>
      <c r="H126" s="1183"/>
      <c r="I126" s="1183"/>
      <c r="J126" s="1183"/>
      <c r="K126" s="1183"/>
      <c r="L126" s="1183"/>
      <c r="M126" s="1183"/>
      <c r="N126" s="1183"/>
      <c r="O126" s="1183"/>
      <c r="P126" s="1183"/>
      <c r="Q126" s="1183"/>
    </row>
    <row r="127" spans="1:20" s="5" customFormat="1" ht="27" customHeight="1">
      <c r="A127" s="58"/>
      <c r="B127" s="1183" t="s">
        <v>1212</v>
      </c>
      <c r="C127" s="1183"/>
      <c r="D127" s="1183"/>
      <c r="E127" s="1183"/>
      <c r="F127" s="1183"/>
      <c r="G127" s="1183"/>
      <c r="H127" s="1183"/>
      <c r="I127" s="1183"/>
      <c r="J127" s="1183"/>
      <c r="K127" s="1183"/>
      <c r="L127" s="1183"/>
      <c r="M127" s="1183"/>
      <c r="N127" s="1183"/>
      <c r="O127" s="1183"/>
      <c r="P127" s="1183"/>
      <c r="Q127" s="1183"/>
    </row>
    <row r="128" spans="1:20" s="5" customFormat="1" ht="79.5" customHeight="1">
      <c r="A128" s="58"/>
      <c r="B128" s="1182" t="s">
        <v>1219</v>
      </c>
      <c r="C128" s="1182"/>
      <c r="D128" s="1182"/>
      <c r="E128" s="1182"/>
      <c r="F128" s="1182"/>
      <c r="G128" s="1182"/>
      <c r="H128" s="1182"/>
      <c r="I128" s="1182"/>
      <c r="J128" s="1182"/>
      <c r="K128" s="1182"/>
      <c r="L128" s="1182"/>
      <c r="M128" s="1182"/>
      <c r="N128" s="1182"/>
      <c r="O128" s="1182"/>
      <c r="P128" s="1182"/>
      <c r="Q128" s="1182"/>
      <c r="R128" s="675"/>
      <c r="S128" s="675"/>
      <c r="T128" s="675"/>
    </row>
    <row r="129" spans="1:17" ht="18.75">
      <c r="A129" s="51"/>
      <c r="B129" s="93"/>
      <c r="C129" s="51"/>
      <c r="D129" s="51"/>
      <c r="E129" s="51"/>
      <c r="F129" s="51"/>
      <c r="G129" s="51"/>
      <c r="H129" s="51"/>
      <c r="I129" s="51"/>
      <c r="J129" s="51"/>
      <c r="K129" s="51"/>
      <c r="L129" s="51"/>
      <c r="M129" s="51"/>
      <c r="N129" s="51"/>
      <c r="O129" s="51"/>
      <c r="P129" s="51"/>
      <c r="Q129" s="51"/>
    </row>
    <row r="130" spans="1:17" ht="18.75">
      <c r="A130" s="51"/>
      <c r="B130" s="93"/>
      <c r="C130" s="51"/>
      <c r="D130" s="51"/>
      <c r="E130" s="51"/>
      <c r="F130" s="51"/>
      <c r="G130" s="51"/>
      <c r="H130" s="51"/>
      <c r="I130" s="51"/>
      <c r="J130" s="51"/>
      <c r="K130" s="51"/>
      <c r="L130" s="51"/>
      <c r="M130" s="51"/>
      <c r="N130" s="51"/>
      <c r="O130" s="51"/>
      <c r="P130" s="51"/>
      <c r="Q130" s="51"/>
    </row>
    <row r="131" spans="1:17" ht="18.75">
      <c r="A131" s="51"/>
      <c r="B131" s="93"/>
      <c r="C131" s="51"/>
      <c r="D131" s="51"/>
      <c r="E131" s="51"/>
      <c r="F131" s="51"/>
      <c r="G131" s="51"/>
      <c r="H131" s="51"/>
      <c r="I131" s="51"/>
      <c r="J131" s="51"/>
      <c r="K131" s="51"/>
      <c r="L131" s="51"/>
      <c r="M131" s="51"/>
      <c r="N131" s="51"/>
      <c r="O131" s="51"/>
      <c r="P131" s="51"/>
      <c r="Q131" s="51"/>
    </row>
    <row r="132" spans="1:17" ht="18.75">
      <c r="A132" s="51"/>
      <c r="B132" s="93"/>
      <c r="C132" s="51"/>
      <c r="D132" s="51"/>
      <c r="E132" s="51"/>
      <c r="F132" s="51"/>
      <c r="G132" s="51"/>
      <c r="H132" s="51"/>
      <c r="I132" s="51"/>
      <c r="J132" s="51"/>
      <c r="K132" s="51"/>
      <c r="L132" s="51"/>
      <c r="M132" s="51"/>
      <c r="N132" s="51"/>
      <c r="O132" s="51"/>
      <c r="P132" s="51"/>
      <c r="Q132" s="51"/>
    </row>
    <row r="133" spans="1:17" ht="18.75">
      <c r="A133" s="51"/>
      <c r="B133" s="93"/>
      <c r="C133" s="51"/>
      <c r="D133" s="51"/>
      <c r="E133" s="51"/>
      <c r="F133" s="51"/>
      <c r="G133" s="51"/>
      <c r="H133" s="51"/>
      <c r="I133" s="51"/>
      <c r="J133" s="51"/>
      <c r="K133" s="51"/>
      <c r="L133" s="51"/>
      <c r="M133" s="51"/>
      <c r="N133" s="51"/>
      <c r="O133" s="51"/>
      <c r="P133" s="51"/>
      <c r="Q133" s="51"/>
    </row>
    <row r="134" spans="1:17" ht="25.5" customHeight="1">
      <c r="A134" s="58"/>
      <c r="B134" s="94"/>
      <c r="C134" s="51"/>
      <c r="D134" s="51"/>
      <c r="E134" s="51"/>
      <c r="F134" s="51"/>
      <c r="G134" s="51"/>
      <c r="H134" s="51"/>
      <c r="I134" s="51"/>
      <c r="J134" s="51"/>
      <c r="K134" s="51"/>
      <c r="L134" s="51"/>
      <c r="M134" s="51"/>
      <c r="N134" s="51"/>
      <c r="O134" s="51"/>
      <c r="P134" s="51"/>
      <c r="Q134" s="51"/>
    </row>
    <row r="135" spans="1:17" ht="41.25" customHeight="1">
      <c r="A135" s="58"/>
      <c r="B135" s="94"/>
      <c r="C135" s="51"/>
      <c r="D135" s="51"/>
      <c r="E135" s="51"/>
      <c r="F135" s="51"/>
      <c r="G135" s="51"/>
      <c r="H135" s="51"/>
      <c r="I135" s="51"/>
      <c r="J135" s="51"/>
      <c r="K135" s="51"/>
      <c r="L135" s="51"/>
      <c r="M135" s="51"/>
      <c r="N135" s="51"/>
      <c r="O135" s="51"/>
      <c r="P135" s="51"/>
      <c r="Q135" s="51"/>
    </row>
    <row r="136" spans="1:17" ht="18.75">
      <c r="A136" s="51"/>
      <c r="B136" s="93"/>
      <c r="C136" s="51"/>
      <c r="D136" s="51"/>
      <c r="E136" s="51"/>
      <c r="F136" s="51"/>
      <c r="G136" s="51"/>
      <c r="H136" s="51"/>
      <c r="I136" s="51"/>
      <c r="J136" s="51"/>
      <c r="K136" s="51"/>
      <c r="L136" s="51"/>
      <c r="M136" s="51"/>
      <c r="N136" s="51"/>
      <c r="O136" s="51"/>
      <c r="P136" s="51"/>
      <c r="Q136" s="51"/>
    </row>
    <row r="137" spans="1:17" ht="18.75">
      <c r="A137" s="51"/>
      <c r="B137" s="93"/>
      <c r="C137" s="51"/>
      <c r="D137" s="51"/>
      <c r="E137" s="51"/>
      <c r="F137" s="51"/>
      <c r="G137" s="51"/>
      <c r="H137" s="51"/>
      <c r="I137" s="51"/>
      <c r="J137" s="51"/>
      <c r="K137" s="51"/>
      <c r="L137" s="51"/>
      <c r="M137" s="51"/>
      <c r="N137" s="51"/>
      <c r="O137" s="51"/>
      <c r="P137" s="51"/>
      <c r="Q137" s="51"/>
    </row>
    <row r="138" spans="1:17" ht="22.5" customHeight="1">
      <c r="A138" s="51"/>
      <c r="B138" s="93"/>
      <c r="C138" s="51"/>
      <c r="D138" s="51"/>
      <c r="E138" s="51"/>
      <c r="F138" s="51"/>
      <c r="G138" s="51"/>
      <c r="H138" s="51"/>
      <c r="I138" s="51"/>
      <c r="J138" s="51"/>
      <c r="K138" s="51"/>
      <c r="L138" s="51"/>
      <c r="M138" s="51"/>
      <c r="N138" s="51"/>
      <c r="O138" s="51"/>
      <c r="P138" s="51"/>
      <c r="Q138" s="51"/>
    </row>
    <row r="139" spans="1:17" ht="18.75">
      <c r="A139" s="51"/>
      <c r="B139" s="93"/>
      <c r="C139" s="51"/>
      <c r="D139" s="51"/>
      <c r="E139" s="51"/>
      <c r="F139" s="51"/>
      <c r="G139" s="51"/>
      <c r="H139" s="51"/>
      <c r="I139" s="51"/>
      <c r="J139" s="51"/>
      <c r="K139" s="51"/>
      <c r="L139" s="51"/>
      <c r="M139" s="51"/>
      <c r="N139" s="51"/>
      <c r="O139" s="51"/>
      <c r="P139" s="51"/>
      <c r="Q139" s="51"/>
    </row>
    <row r="140" spans="1:17" ht="18.75">
      <c r="A140" s="51"/>
      <c r="B140" s="93"/>
      <c r="C140" s="51"/>
      <c r="D140" s="51"/>
      <c r="E140" s="51"/>
      <c r="F140" s="51"/>
      <c r="G140" s="51"/>
      <c r="H140" s="51"/>
      <c r="I140" s="51"/>
      <c r="J140" s="51"/>
      <c r="K140" s="51"/>
      <c r="L140" s="51"/>
      <c r="M140" s="51"/>
      <c r="N140" s="51"/>
      <c r="O140" s="51"/>
      <c r="P140" s="51"/>
      <c r="Q140" s="51"/>
    </row>
    <row r="141" spans="1:17" ht="18.75">
      <c r="A141" s="51"/>
      <c r="B141" s="93"/>
      <c r="C141" s="51"/>
      <c r="D141" s="51"/>
      <c r="E141" s="51"/>
      <c r="F141" s="51"/>
      <c r="G141" s="51"/>
      <c r="H141" s="51"/>
      <c r="I141" s="51"/>
      <c r="J141" s="51"/>
      <c r="K141" s="51"/>
      <c r="L141" s="51"/>
      <c r="M141" s="51"/>
      <c r="N141" s="51"/>
      <c r="O141" s="51"/>
      <c r="P141" s="51"/>
      <c r="Q141" s="51"/>
    </row>
    <row r="142" spans="1:17" ht="18.75">
      <c r="A142" s="51"/>
      <c r="B142" s="93"/>
      <c r="C142" s="51"/>
      <c r="D142" s="51"/>
      <c r="E142" s="51"/>
      <c r="F142" s="51"/>
      <c r="G142" s="51"/>
      <c r="H142" s="51"/>
      <c r="I142" s="51"/>
      <c r="J142" s="51"/>
      <c r="K142" s="51"/>
      <c r="L142" s="51"/>
      <c r="M142" s="51"/>
      <c r="N142" s="51"/>
      <c r="O142" s="51"/>
      <c r="P142" s="51"/>
      <c r="Q142" s="51"/>
    </row>
  </sheetData>
  <mergeCells count="24">
    <mergeCell ref="A2:Q2"/>
    <mergeCell ref="A3:Q3"/>
    <mergeCell ref="A5:A8"/>
    <mergeCell ref="B5:B8"/>
    <mergeCell ref="C5:C8"/>
    <mergeCell ref="D5:D8"/>
    <mergeCell ref="E5:E8"/>
    <mergeCell ref="F5:F8"/>
    <mergeCell ref="G5:G8"/>
    <mergeCell ref="H5:H8"/>
    <mergeCell ref="Q5:Q8"/>
    <mergeCell ref="K6:K8"/>
    <mergeCell ref="L6:L8"/>
    <mergeCell ref="M6:M8"/>
    <mergeCell ref="B128:Q128"/>
    <mergeCell ref="O6:O8"/>
    <mergeCell ref="P6:P8"/>
    <mergeCell ref="I5:I8"/>
    <mergeCell ref="J5:J8"/>
    <mergeCell ref="K5:M5"/>
    <mergeCell ref="N5:N8"/>
    <mergeCell ref="O5:P5"/>
    <mergeCell ref="B126:Q126"/>
    <mergeCell ref="B127:Q127"/>
  </mergeCells>
  <phoneticPr fontId="53" type="noConversion"/>
  <printOptions horizontalCentered="1"/>
  <pageMargins left="0.2" right="0.23" top="0.59" bottom="0.23" header="0.35" footer="0.17"/>
  <pageSetup paperSize="9" scale="54" fitToHeight="5" orientation="landscape" r:id="rId1"/>
  <headerFooter alignWithMargins="0">
    <oddHeader>&amp;C39</oddHeader>
    <oddFooter xml:space="preserve">&amp;C&amp;".VnTime,Italic"&amp;8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U40"/>
  <sheetViews>
    <sheetView zoomScale="80" zoomScaleNormal="80" workbookViewId="0">
      <pane xSplit="2" ySplit="9" topLeftCell="C16" activePane="bottomRight" state="frozen"/>
      <selection pane="topRight" activeCell="C1" sqref="C1"/>
      <selection pane="bottomLeft" activeCell="A10" sqref="A10"/>
      <selection pane="bottomRight" activeCell="C10" sqref="C10"/>
    </sheetView>
  </sheetViews>
  <sheetFormatPr defaultRowHeight="15.75"/>
  <cols>
    <col min="1" max="1" width="5.85546875" style="795" customWidth="1"/>
    <col min="2" max="2" width="35.85546875" style="795" customWidth="1"/>
    <col min="3" max="3" width="12.42578125" style="795" customWidth="1"/>
    <col min="4" max="12" width="9.85546875" style="795" customWidth="1"/>
    <col min="13" max="14" width="11.85546875" style="795" customWidth="1"/>
    <col min="15" max="16" width="12.42578125" style="795" customWidth="1"/>
    <col min="17" max="17" width="9.85546875" style="795" customWidth="1"/>
    <col min="18" max="18" width="9.7109375" style="795" customWidth="1"/>
    <col min="19" max="19" width="13.140625" style="795" customWidth="1"/>
    <col min="20" max="20" width="18.85546875" style="795" customWidth="1"/>
    <col min="21" max="21" width="9.7109375" style="795" bestFit="1" customWidth="1"/>
    <col min="22" max="256" width="9.140625" style="795"/>
    <col min="257" max="257" width="5.85546875" style="795" customWidth="1"/>
    <col min="258" max="258" width="35.85546875" style="795" customWidth="1"/>
    <col min="259" max="259" width="12.42578125" style="795" customWidth="1"/>
    <col min="260" max="268" width="9.85546875" style="795" customWidth="1"/>
    <col min="269" max="270" width="11.85546875" style="795" customWidth="1"/>
    <col min="271" max="272" width="12.42578125" style="795" customWidth="1"/>
    <col min="273" max="273" width="9.85546875" style="795" customWidth="1"/>
    <col min="274" max="274" width="9.7109375" style="795" customWidth="1"/>
    <col min="275" max="275" width="13.140625" style="795" customWidth="1"/>
    <col min="276" max="276" width="18.85546875" style="795" customWidth="1"/>
    <col min="277" max="512" width="9.140625" style="795"/>
    <col min="513" max="513" width="5.85546875" style="795" customWidth="1"/>
    <col min="514" max="514" width="35.85546875" style="795" customWidth="1"/>
    <col min="515" max="515" width="12.42578125" style="795" customWidth="1"/>
    <col min="516" max="524" width="9.85546875" style="795" customWidth="1"/>
    <col min="525" max="526" width="11.85546875" style="795" customWidth="1"/>
    <col min="527" max="528" width="12.42578125" style="795" customWidth="1"/>
    <col min="529" max="529" width="9.85546875" style="795" customWidth="1"/>
    <col min="530" max="530" width="9.7109375" style="795" customWidth="1"/>
    <col min="531" max="531" width="13.140625" style="795" customWidth="1"/>
    <col min="532" max="532" width="18.85546875" style="795" customWidth="1"/>
    <col min="533" max="768" width="9.140625" style="795"/>
    <col min="769" max="769" width="5.85546875" style="795" customWidth="1"/>
    <col min="770" max="770" width="35.85546875" style="795" customWidth="1"/>
    <col min="771" max="771" width="12.42578125" style="795" customWidth="1"/>
    <col min="772" max="780" width="9.85546875" style="795" customWidth="1"/>
    <col min="781" max="782" width="11.85546875" style="795" customWidth="1"/>
    <col min="783" max="784" width="12.42578125" style="795" customWidth="1"/>
    <col min="785" max="785" width="9.85546875" style="795" customWidth="1"/>
    <col min="786" max="786" width="9.7109375" style="795" customWidth="1"/>
    <col min="787" max="787" width="13.140625" style="795" customWidth="1"/>
    <col min="788" max="788" width="18.85546875" style="795" customWidth="1"/>
    <col min="789" max="1024" width="9.140625" style="795"/>
    <col min="1025" max="1025" width="5.85546875" style="795" customWidth="1"/>
    <col min="1026" max="1026" width="35.85546875" style="795" customWidth="1"/>
    <col min="1027" max="1027" width="12.42578125" style="795" customWidth="1"/>
    <col min="1028" max="1036" width="9.85546875" style="795" customWidth="1"/>
    <col min="1037" max="1038" width="11.85546875" style="795" customWidth="1"/>
    <col min="1039" max="1040" width="12.42578125" style="795" customWidth="1"/>
    <col min="1041" max="1041" width="9.85546875" style="795" customWidth="1"/>
    <col min="1042" max="1042" width="9.7109375" style="795" customWidth="1"/>
    <col min="1043" max="1043" width="13.140625" style="795" customWidth="1"/>
    <col min="1044" max="1044" width="18.85546875" style="795" customWidth="1"/>
    <col min="1045" max="1280" width="9.140625" style="795"/>
    <col min="1281" max="1281" width="5.85546875" style="795" customWidth="1"/>
    <col min="1282" max="1282" width="35.85546875" style="795" customWidth="1"/>
    <col min="1283" max="1283" width="12.42578125" style="795" customWidth="1"/>
    <col min="1284" max="1292" width="9.85546875" style="795" customWidth="1"/>
    <col min="1293" max="1294" width="11.85546875" style="795" customWidth="1"/>
    <col min="1295" max="1296" width="12.42578125" style="795" customWidth="1"/>
    <col min="1297" max="1297" width="9.85546875" style="795" customWidth="1"/>
    <col min="1298" max="1298" width="9.7109375" style="795" customWidth="1"/>
    <col min="1299" max="1299" width="13.140625" style="795" customWidth="1"/>
    <col min="1300" max="1300" width="18.85546875" style="795" customWidth="1"/>
    <col min="1301" max="1536" width="9.140625" style="795"/>
    <col min="1537" max="1537" width="5.85546875" style="795" customWidth="1"/>
    <col min="1538" max="1538" width="35.85546875" style="795" customWidth="1"/>
    <col min="1539" max="1539" width="12.42578125" style="795" customWidth="1"/>
    <col min="1540" max="1548" width="9.85546875" style="795" customWidth="1"/>
    <col min="1549" max="1550" width="11.85546875" style="795" customWidth="1"/>
    <col min="1551" max="1552" width="12.42578125" style="795" customWidth="1"/>
    <col min="1553" max="1553" width="9.85546875" style="795" customWidth="1"/>
    <col min="1554" max="1554" width="9.7109375" style="795" customWidth="1"/>
    <col min="1555" max="1555" width="13.140625" style="795" customWidth="1"/>
    <col min="1556" max="1556" width="18.85546875" style="795" customWidth="1"/>
    <col min="1557" max="1792" width="9.140625" style="795"/>
    <col min="1793" max="1793" width="5.85546875" style="795" customWidth="1"/>
    <col min="1794" max="1794" width="35.85546875" style="795" customWidth="1"/>
    <col min="1795" max="1795" width="12.42578125" style="795" customWidth="1"/>
    <col min="1796" max="1804" width="9.85546875" style="795" customWidth="1"/>
    <col min="1805" max="1806" width="11.85546875" style="795" customWidth="1"/>
    <col min="1807" max="1808" width="12.42578125" style="795" customWidth="1"/>
    <col min="1809" max="1809" width="9.85546875" style="795" customWidth="1"/>
    <col min="1810" max="1810" width="9.7109375" style="795" customWidth="1"/>
    <col min="1811" max="1811" width="13.140625" style="795" customWidth="1"/>
    <col min="1812" max="1812" width="18.85546875" style="795" customWidth="1"/>
    <col min="1813" max="2048" width="9.140625" style="795"/>
    <col min="2049" max="2049" width="5.85546875" style="795" customWidth="1"/>
    <col min="2050" max="2050" width="35.85546875" style="795" customWidth="1"/>
    <col min="2051" max="2051" width="12.42578125" style="795" customWidth="1"/>
    <col min="2052" max="2060" width="9.85546875" style="795" customWidth="1"/>
    <col min="2061" max="2062" width="11.85546875" style="795" customWidth="1"/>
    <col min="2063" max="2064" width="12.42578125" style="795" customWidth="1"/>
    <col min="2065" max="2065" width="9.85546875" style="795" customWidth="1"/>
    <col min="2066" max="2066" width="9.7109375" style="795" customWidth="1"/>
    <col min="2067" max="2067" width="13.140625" style="795" customWidth="1"/>
    <col min="2068" max="2068" width="18.85546875" style="795" customWidth="1"/>
    <col min="2069" max="2304" width="9.140625" style="795"/>
    <col min="2305" max="2305" width="5.85546875" style="795" customWidth="1"/>
    <col min="2306" max="2306" width="35.85546875" style="795" customWidth="1"/>
    <col min="2307" max="2307" width="12.42578125" style="795" customWidth="1"/>
    <col min="2308" max="2316" width="9.85546875" style="795" customWidth="1"/>
    <col min="2317" max="2318" width="11.85546875" style="795" customWidth="1"/>
    <col min="2319" max="2320" width="12.42578125" style="795" customWidth="1"/>
    <col min="2321" max="2321" width="9.85546875" style="795" customWidth="1"/>
    <col min="2322" max="2322" width="9.7109375" style="795" customWidth="1"/>
    <col min="2323" max="2323" width="13.140625" style="795" customWidth="1"/>
    <col min="2324" max="2324" width="18.85546875" style="795" customWidth="1"/>
    <col min="2325" max="2560" width="9.140625" style="795"/>
    <col min="2561" max="2561" width="5.85546875" style="795" customWidth="1"/>
    <col min="2562" max="2562" width="35.85546875" style="795" customWidth="1"/>
    <col min="2563" max="2563" width="12.42578125" style="795" customWidth="1"/>
    <col min="2564" max="2572" width="9.85546875" style="795" customWidth="1"/>
    <col min="2573" max="2574" width="11.85546875" style="795" customWidth="1"/>
    <col min="2575" max="2576" width="12.42578125" style="795" customWidth="1"/>
    <col min="2577" max="2577" width="9.85546875" style="795" customWidth="1"/>
    <col min="2578" max="2578" width="9.7109375" style="795" customWidth="1"/>
    <col min="2579" max="2579" width="13.140625" style="795" customWidth="1"/>
    <col min="2580" max="2580" width="18.85546875" style="795" customWidth="1"/>
    <col min="2581" max="2816" width="9.140625" style="795"/>
    <col min="2817" max="2817" width="5.85546875" style="795" customWidth="1"/>
    <col min="2818" max="2818" width="35.85546875" style="795" customWidth="1"/>
    <col min="2819" max="2819" width="12.42578125" style="795" customWidth="1"/>
    <col min="2820" max="2828" width="9.85546875" style="795" customWidth="1"/>
    <col min="2829" max="2830" width="11.85546875" style="795" customWidth="1"/>
    <col min="2831" max="2832" width="12.42578125" style="795" customWidth="1"/>
    <col min="2833" max="2833" width="9.85546875" style="795" customWidth="1"/>
    <col min="2834" max="2834" width="9.7109375" style="795" customWidth="1"/>
    <col min="2835" max="2835" width="13.140625" style="795" customWidth="1"/>
    <col min="2836" max="2836" width="18.85546875" style="795" customWidth="1"/>
    <col min="2837" max="3072" width="9.140625" style="795"/>
    <col min="3073" max="3073" width="5.85546875" style="795" customWidth="1"/>
    <col min="3074" max="3074" width="35.85546875" style="795" customWidth="1"/>
    <col min="3075" max="3075" width="12.42578125" style="795" customWidth="1"/>
    <col min="3076" max="3084" width="9.85546875" style="795" customWidth="1"/>
    <col min="3085" max="3086" width="11.85546875" style="795" customWidth="1"/>
    <col min="3087" max="3088" width="12.42578125" style="795" customWidth="1"/>
    <col min="3089" max="3089" width="9.85546875" style="795" customWidth="1"/>
    <col min="3090" max="3090" width="9.7109375" style="795" customWidth="1"/>
    <col min="3091" max="3091" width="13.140625" style="795" customWidth="1"/>
    <col min="3092" max="3092" width="18.85546875" style="795" customWidth="1"/>
    <col min="3093" max="3328" width="9.140625" style="795"/>
    <col min="3329" max="3329" width="5.85546875" style="795" customWidth="1"/>
    <col min="3330" max="3330" width="35.85546875" style="795" customWidth="1"/>
    <col min="3331" max="3331" width="12.42578125" style="795" customWidth="1"/>
    <col min="3332" max="3340" width="9.85546875" style="795" customWidth="1"/>
    <col min="3341" max="3342" width="11.85546875" style="795" customWidth="1"/>
    <col min="3343" max="3344" width="12.42578125" style="795" customWidth="1"/>
    <col min="3345" max="3345" width="9.85546875" style="795" customWidth="1"/>
    <col min="3346" max="3346" width="9.7109375" style="795" customWidth="1"/>
    <col min="3347" max="3347" width="13.140625" style="795" customWidth="1"/>
    <col min="3348" max="3348" width="18.85546875" style="795" customWidth="1"/>
    <col min="3349" max="3584" width="9.140625" style="795"/>
    <col min="3585" max="3585" width="5.85546875" style="795" customWidth="1"/>
    <col min="3586" max="3586" width="35.85546875" style="795" customWidth="1"/>
    <col min="3587" max="3587" width="12.42578125" style="795" customWidth="1"/>
    <col min="3588" max="3596" width="9.85546875" style="795" customWidth="1"/>
    <col min="3597" max="3598" width="11.85546875" style="795" customWidth="1"/>
    <col min="3599" max="3600" width="12.42578125" style="795" customWidth="1"/>
    <col min="3601" max="3601" width="9.85546875" style="795" customWidth="1"/>
    <col min="3602" max="3602" width="9.7109375" style="795" customWidth="1"/>
    <col min="3603" max="3603" width="13.140625" style="795" customWidth="1"/>
    <col min="3604" max="3604" width="18.85546875" style="795" customWidth="1"/>
    <col min="3605" max="3840" width="9.140625" style="795"/>
    <col min="3841" max="3841" width="5.85546875" style="795" customWidth="1"/>
    <col min="3842" max="3842" width="35.85546875" style="795" customWidth="1"/>
    <col min="3843" max="3843" width="12.42578125" style="795" customWidth="1"/>
    <col min="3844" max="3852" width="9.85546875" style="795" customWidth="1"/>
    <col min="3853" max="3854" width="11.85546875" style="795" customWidth="1"/>
    <col min="3855" max="3856" width="12.42578125" style="795" customWidth="1"/>
    <col min="3857" max="3857" width="9.85546875" style="795" customWidth="1"/>
    <col min="3858" max="3858" width="9.7109375" style="795" customWidth="1"/>
    <col min="3859" max="3859" width="13.140625" style="795" customWidth="1"/>
    <col min="3860" max="3860" width="18.85546875" style="795" customWidth="1"/>
    <col min="3861" max="4096" width="9.140625" style="795"/>
    <col min="4097" max="4097" width="5.85546875" style="795" customWidth="1"/>
    <col min="4098" max="4098" width="35.85546875" style="795" customWidth="1"/>
    <col min="4099" max="4099" width="12.42578125" style="795" customWidth="1"/>
    <col min="4100" max="4108" width="9.85546875" style="795" customWidth="1"/>
    <col min="4109" max="4110" width="11.85546875" style="795" customWidth="1"/>
    <col min="4111" max="4112" width="12.42578125" style="795" customWidth="1"/>
    <col min="4113" max="4113" width="9.85546875" style="795" customWidth="1"/>
    <col min="4114" max="4114" width="9.7109375" style="795" customWidth="1"/>
    <col min="4115" max="4115" width="13.140625" style="795" customWidth="1"/>
    <col min="4116" max="4116" width="18.85546875" style="795" customWidth="1"/>
    <col min="4117" max="4352" width="9.140625" style="795"/>
    <col min="4353" max="4353" width="5.85546875" style="795" customWidth="1"/>
    <col min="4354" max="4354" width="35.85546875" style="795" customWidth="1"/>
    <col min="4355" max="4355" width="12.42578125" style="795" customWidth="1"/>
    <col min="4356" max="4364" width="9.85546875" style="795" customWidth="1"/>
    <col min="4365" max="4366" width="11.85546875" style="795" customWidth="1"/>
    <col min="4367" max="4368" width="12.42578125" style="795" customWidth="1"/>
    <col min="4369" max="4369" width="9.85546875" style="795" customWidth="1"/>
    <col min="4370" max="4370" width="9.7109375" style="795" customWidth="1"/>
    <col min="4371" max="4371" width="13.140625" style="795" customWidth="1"/>
    <col min="4372" max="4372" width="18.85546875" style="795" customWidth="1"/>
    <col min="4373" max="4608" width="9.140625" style="795"/>
    <col min="4609" max="4609" width="5.85546875" style="795" customWidth="1"/>
    <col min="4610" max="4610" width="35.85546875" style="795" customWidth="1"/>
    <col min="4611" max="4611" width="12.42578125" style="795" customWidth="1"/>
    <col min="4612" max="4620" width="9.85546875" style="795" customWidth="1"/>
    <col min="4621" max="4622" width="11.85546875" style="795" customWidth="1"/>
    <col min="4623" max="4624" width="12.42578125" style="795" customWidth="1"/>
    <col min="4625" max="4625" width="9.85546875" style="795" customWidth="1"/>
    <col min="4626" max="4626" width="9.7109375" style="795" customWidth="1"/>
    <col min="4627" max="4627" width="13.140625" style="795" customWidth="1"/>
    <col min="4628" max="4628" width="18.85546875" style="795" customWidth="1"/>
    <col min="4629" max="4864" width="9.140625" style="795"/>
    <col min="4865" max="4865" width="5.85546875" style="795" customWidth="1"/>
    <col min="4866" max="4866" width="35.85546875" style="795" customWidth="1"/>
    <col min="4867" max="4867" width="12.42578125" style="795" customWidth="1"/>
    <col min="4868" max="4876" width="9.85546875" style="795" customWidth="1"/>
    <col min="4877" max="4878" width="11.85546875" style="795" customWidth="1"/>
    <col min="4879" max="4880" width="12.42578125" style="795" customWidth="1"/>
    <col min="4881" max="4881" width="9.85546875" style="795" customWidth="1"/>
    <col min="4882" max="4882" width="9.7109375" style="795" customWidth="1"/>
    <col min="4883" max="4883" width="13.140625" style="795" customWidth="1"/>
    <col min="4884" max="4884" width="18.85546875" style="795" customWidth="1"/>
    <col min="4885" max="5120" width="9.140625" style="795"/>
    <col min="5121" max="5121" width="5.85546875" style="795" customWidth="1"/>
    <col min="5122" max="5122" width="35.85546875" style="795" customWidth="1"/>
    <col min="5123" max="5123" width="12.42578125" style="795" customWidth="1"/>
    <col min="5124" max="5132" width="9.85546875" style="795" customWidth="1"/>
    <col min="5133" max="5134" width="11.85546875" style="795" customWidth="1"/>
    <col min="5135" max="5136" width="12.42578125" style="795" customWidth="1"/>
    <col min="5137" max="5137" width="9.85546875" style="795" customWidth="1"/>
    <col min="5138" max="5138" width="9.7109375" style="795" customWidth="1"/>
    <col min="5139" max="5139" width="13.140625" style="795" customWidth="1"/>
    <col min="5140" max="5140" width="18.85546875" style="795" customWidth="1"/>
    <col min="5141" max="5376" width="9.140625" style="795"/>
    <col min="5377" max="5377" width="5.85546875" style="795" customWidth="1"/>
    <col min="5378" max="5378" width="35.85546875" style="795" customWidth="1"/>
    <col min="5379" max="5379" width="12.42578125" style="795" customWidth="1"/>
    <col min="5380" max="5388" width="9.85546875" style="795" customWidth="1"/>
    <col min="5389" max="5390" width="11.85546875" style="795" customWidth="1"/>
    <col min="5391" max="5392" width="12.42578125" style="795" customWidth="1"/>
    <col min="5393" max="5393" width="9.85546875" style="795" customWidth="1"/>
    <col min="5394" max="5394" width="9.7109375" style="795" customWidth="1"/>
    <col min="5395" max="5395" width="13.140625" style="795" customWidth="1"/>
    <col min="5396" max="5396" width="18.85546875" style="795" customWidth="1"/>
    <col min="5397" max="5632" width="9.140625" style="795"/>
    <col min="5633" max="5633" width="5.85546875" style="795" customWidth="1"/>
    <col min="5634" max="5634" width="35.85546875" style="795" customWidth="1"/>
    <col min="5635" max="5635" width="12.42578125" style="795" customWidth="1"/>
    <col min="5636" max="5644" width="9.85546875" style="795" customWidth="1"/>
    <col min="5645" max="5646" width="11.85546875" style="795" customWidth="1"/>
    <col min="5647" max="5648" width="12.42578125" style="795" customWidth="1"/>
    <col min="5649" max="5649" width="9.85546875" style="795" customWidth="1"/>
    <col min="5650" max="5650" width="9.7109375" style="795" customWidth="1"/>
    <col min="5651" max="5651" width="13.140625" style="795" customWidth="1"/>
    <col min="5652" max="5652" width="18.85546875" style="795" customWidth="1"/>
    <col min="5653" max="5888" width="9.140625" style="795"/>
    <col min="5889" max="5889" width="5.85546875" style="795" customWidth="1"/>
    <col min="5890" max="5890" width="35.85546875" style="795" customWidth="1"/>
    <col min="5891" max="5891" width="12.42578125" style="795" customWidth="1"/>
    <col min="5892" max="5900" width="9.85546875" style="795" customWidth="1"/>
    <col min="5901" max="5902" width="11.85546875" style="795" customWidth="1"/>
    <col min="5903" max="5904" width="12.42578125" style="795" customWidth="1"/>
    <col min="5905" max="5905" width="9.85546875" style="795" customWidth="1"/>
    <col min="5906" max="5906" width="9.7109375" style="795" customWidth="1"/>
    <col min="5907" max="5907" width="13.140625" style="795" customWidth="1"/>
    <col min="5908" max="5908" width="18.85546875" style="795" customWidth="1"/>
    <col min="5909" max="6144" width="9.140625" style="795"/>
    <col min="6145" max="6145" width="5.85546875" style="795" customWidth="1"/>
    <col min="6146" max="6146" width="35.85546875" style="795" customWidth="1"/>
    <col min="6147" max="6147" width="12.42578125" style="795" customWidth="1"/>
    <col min="6148" max="6156" width="9.85546875" style="795" customWidth="1"/>
    <col min="6157" max="6158" width="11.85546875" style="795" customWidth="1"/>
    <col min="6159" max="6160" width="12.42578125" style="795" customWidth="1"/>
    <col min="6161" max="6161" width="9.85546875" style="795" customWidth="1"/>
    <col min="6162" max="6162" width="9.7109375" style="795" customWidth="1"/>
    <col min="6163" max="6163" width="13.140625" style="795" customWidth="1"/>
    <col min="6164" max="6164" width="18.85546875" style="795" customWidth="1"/>
    <col min="6165" max="6400" width="9.140625" style="795"/>
    <col min="6401" max="6401" width="5.85546875" style="795" customWidth="1"/>
    <col min="6402" max="6402" width="35.85546875" style="795" customWidth="1"/>
    <col min="6403" max="6403" width="12.42578125" style="795" customWidth="1"/>
    <col min="6404" max="6412" width="9.85546875" style="795" customWidth="1"/>
    <col min="6413" max="6414" width="11.85546875" style="795" customWidth="1"/>
    <col min="6415" max="6416" width="12.42578125" style="795" customWidth="1"/>
    <col min="6417" max="6417" width="9.85546875" style="795" customWidth="1"/>
    <col min="6418" max="6418" width="9.7109375" style="795" customWidth="1"/>
    <col min="6419" max="6419" width="13.140625" style="795" customWidth="1"/>
    <col min="6420" max="6420" width="18.85546875" style="795" customWidth="1"/>
    <col min="6421" max="6656" width="9.140625" style="795"/>
    <col min="6657" max="6657" width="5.85546875" style="795" customWidth="1"/>
    <col min="6658" max="6658" width="35.85546875" style="795" customWidth="1"/>
    <col min="6659" max="6659" width="12.42578125" style="795" customWidth="1"/>
    <col min="6660" max="6668" width="9.85546875" style="795" customWidth="1"/>
    <col min="6669" max="6670" width="11.85546875" style="795" customWidth="1"/>
    <col min="6671" max="6672" width="12.42578125" style="795" customWidth="1"/>
    <col min="6673" max="6673" width="9.85546875" style="795" customWidth="1"/>
    <col min="6674" max="6674" width="9.7109375" style="795" customWidth="1"/>
    <col min="6675" max="6675" width="13.140625" style="795" customWidth="1"/>
    <col min="6676" max="6676" width="18.85546875" style="795" customWidth="1"/>
    <col min="6677" max="6912" width="9.140625" style="795"/>
    <col min="6913" max="6913" width="5.85546875" style="795" customWidth="1"/>
    <col min="6914" max="6914" width="35.85546875" style="795" customWidth="1"/>
    <col min="6915" max="6915" width="12.42578125" style="795" customWidth="1"/>
    <col min="6916" max="6924" width="9.85546875" style="795" customWidth="1"/>
    <col min="6925" max="6926" width="11.85546875" style="795" customWidth="1"/>
    <col min="6927" max="6928" width="12.42578125" style="795" customWidth="1"/>
    <col min="6929" max="6929" width="9.85546875" style="795" customWidth="1"/>
    <col min="6930" max="6930" width="9.7109375" style="795" customWidth="1"/>
    <col min="6931" max="6931" width="13.140625" style="795" customWidth="1"/>
    <col min="6932" max="6932" width="18.85546875" style="795" customWidth="1"/>
    <col min="6933" max="7168" width="9.140625" style="795"/>
    <col min="7169" max="7169" width="5.85546875" style="795" customWidth="1"/>
    <col min="7170" max="7170" width="35.85546875" style="795" customWidth="1"/>
    <col min="7171" max="7171" width="12.42578125" style="795" customWidth="1"/>
    <col min="7172" max="7180" width="9.85546875" style="795" customWidth="1"/>
    <col min="7181" max="7182" width="11.85546875" style="795" customWidth="1"/>
    <col min="7183" max="7184" width="12.42578125" style="795" customWidth="1"/>
    <col min="7185" max="7185" width="9.85546875" style="795" customWidth="1"/>
    <col min="7186" max="7186" width="9.7109375" style="795" customWidth="1"/>
    <col min="7187" max="7187" width="13.140625" style="795" customWidth="1"/>
    <col min="7188" max="7188" width="18.85546875" style="795" customWidth="1"/>
    <col min="7189" max="7424" width="9.140625" style="795"/>
    <col min="7425" max="7425" width="5.85546875" style="795" customWidth="1"/>
    <col min="7426" max="7426" width="35.85546875" style="795" customWidth="1"/>
    <col min="7427" max="7427" width="12.42578125" style="795" customWidth="1"/>
    <col min="7428" max="7436" width="9.85546875" style="795" customWidth="1"/>
    <col min="7437" max="7438" width="11.85546875" style="795" customWidth="1"/>
    <col min="7439" max="7440" width="12.42578125" style="795" customWidth="1"/>
    <col min="7441" max="7441" width="9.85546875" style="795" customWidth="1"/>
    <col min="7442" max="7442" width="9.7109375" style="795" customWidth="1"/>
    <col min="7443" max="7443" width="13.140625" style="795" customWidth="1"/>
    <col min="7444" max="7444" width="18.85546875" style="795" customWidth="1"/>
    <col min="7445" max="7680" width="9.140625" style="795"/>
    <col min="7681" max="7681" width="5.85546875" style="795" customWidth="1"/>
    <col min="7682" max="7682" width="35.85546875" style="795" customWidth="1"/>
    <col min="7683" max="7683" width="12.42578125" style="795" customWidth="1"/>
    <col min="7684" max="7692" width="9.85546875" style="795" customWidth="1"/>
    <col min="7693" max="7694" width="11.85546875" style="795" customWidth="1"/>
    <col min="7695" max="7696" width="12.42578125" style="795" customWidth="1"/>
    <col min="7697" max="7697" width="9.85546875" style="795" customWidth="1"/>
    <col min="7698" max="7698" width="9.7109375" style="795" customWidth="1"/>
    <col min="7699" max="7699" width="13.140625" style="795" customWidth="1"/>
    <col min="7700" max="7700" width="18.85546875" style="795" customWidth="1"/>
    <col min="7701" max="7936" width="9.140625" style="795"/>
    <col min="7937" max="7937" width="5.85546875" style="795" customWidth="1"/>
    <col min="7938" max="7938" width="35.85546875" style="795" customWidth="1"/>
    <col min="7939" max="7939" width="12.42578125" style="795" customWidth="1"/>
    <col min="7940" max="7948" width="9.85546875" style="795" customWidth="1"/>
    <col min="7949" max="7950" width="11.85546875" style="795" customWidth="1"/>
    <col min="7951" max="7952" width="12.42578125" style="795" customWidth="1"/>
    <col min="7953" max="7953" width="9.85546875" style="795" customWidth="1"/>
    <col min="7954" max="7954" width="9.7109375" style="795" customWidth="1"/>
    <col min="7955" max="7955" width="13.140625" style="795" customWidth="1"/>
    <col min="7956" max="7956" width="18.85546875" style="795" customWidth="1"/>
    <col min="7957" max="8192" width="9.140625" style="795"/>
    <col min="8193" max="8193" width="5.85546875" style="795" customWidth="1"/>
    <col min="8194" max="8194" width="35.85546875" style="795" customWidth="1"/>
    <col min="8195" max="8195" width="12.42578125" style="795" customWidth="1"/>
    <col min="8196" max="8204" width="9.85546875" style="795" customWidth="1"/>
    <col min="8205" max="8206" width="11.85546875" style="795" customWidth="1"/>
    <col min="8207" max="8208" width="12.42578125" style="795" customWidth="1"/>
    <col min="8209" max="8209" width="9.85546875" style="795" customWidth="1"/>
    <col min="8210" max="8210" width="9.7109375" style="795" customWidth="1"/>
    <col min="8211" max="8211" width="13.140625" style="795" customWidth="1"/>
    <col min="8212" max="8212" width="18.85546875" style="795" customWidth="1"/>
    <col min="8213" max="8448" width="9.140625" style="795"/>
    <col min="8449" max="8449" width="5.85546875" style="795" customWidth="1"/>
    <col min="8450" max="8450" width="35.85546875" style="795" customWidth="1"/>
    <col min="8451" max="8451" width="12.42578125" style="795" customWidth="1"/>
    <col min="8452" max="8460" width="9.85546875" style="795" customWidth="1"/>
    <col min="8461" max="8462" width="11.85546875" style="795" customWidth="1"/>
    <col min="8463" max="8464" width="12.42578125" style="795" customWidth="1"/>
    <col min="8465" max="8465" width="9.85546875" style="795" customWidth="1"/>
    <col min="8466" max="8466" width="9.7109375" style="795" customWidth="1"/>
    <col min="8467" max="8467" width="13.140625" style="795" customWidth="1"/>
    <col min="8468" max="8468" width="18.85546875" style="795" customWidth="1"/>
    <col min="8469" max="8704" width="9.140625" style="795"/>
    <col min="8705" max="8705" width="5.85546875" style="795" customWidth="1"/>
    <col min="8706" max="8706" width="35.85546875" style="795" customWidth="1"/>
    <col min="8707" max="8707" width="12.42578125" style="795" customWidth="1"/>
    <col min="8708" max="8716" width="9.85546875" style="795" customWidth="1"/>
    <col min="8717" max="8718" width="11.85546875" style="795" customWidth="1"/>
    <col min="8719" max="8720" width="12.42578125" style="795" customWidth="1"/>
    <col min="8721" max="8721" width="9.85546875" style="795" customWidth="1"/>
    <col min="8722" max="8722" width="9.7109375" style="795" customWidth="1"/>
    <col min="8723" max="8723" width="13.140625" style="795" customWidth="1"/>
    <col min="8724" max="8724" width="18.85546875" style="795" customWidth="1"/>
    <col min="8725" max="8960" width="9.140625" style="795"/>
    <col min="8961" max="8961" width="5.85546875" style="795" customWidth="1"/>
    <col min="8962" max="8962" width="35.85546875" style="795" customWidth="1"/>
    <col min="8963" max="8963" width="12.42578125" style="795" customWidth="1"/>
    <col min="8964" max="8972" width="9.85546875" style="795" customWidth="1"/>
    <col min="8973" max="8974" width="11.85546875" style="795" customWidth="1"/>
    <col min="8975" max="8976" width="12.42578125" style="795" customWidth="1"/>
    <col min="8977" max="8977" width="9.85546875" style="795" customWidth="1"/>
    <col min="8978" max="8978" width="9.7109375" style="795" customWidth="1"/>
    <col min="8979" max="8979" width="13.140625" style="795" customWidth="1"/>
    <col min="8980" max="8980" width="18.85546875" style="795" customWidth="1"/>
    <col min="8981" max="9216" width="9.140625" style="795"/>
    <col min="9217" max="9217" width="5.85546875" style="795" customWidth="1"/>
    <col min="9218" max="9218" width="35.85546875" style="795" customWidth="1"/>
    <col min="9219" max="9219" width="12.42578125" style="795" customWidth="1"/>
    <col min="9220" max="9228" width="9.85546875" style="795" customWidth="1"/>
    <col min="9229" max="9230" width="11.85546875" style="795" customWidth="1"/>
    <col min="9231" max="9232" width="12.42578125" style="795" customWidth="1"/>
    <col min="9233" max="9233" width="9.85546875" style="795" customWidth="1"/>
    <col min="9234" max="9234" width="9.7109375" style="795" customWidth="1"/>
    <col min="9235" max="9235" width="13.140625" style="795" customWidth="1"/>
    <col min="9236" max="9236" width="18.85546875" style="795" customWidth="1"/>
    <col min="9237" max="9472" width="9.140625" style="795"/>
    <col min="9473" max="9473" width="5.85546875" style="795" customWidth="1"/>
    <col min="9474" max="9474" width="35.85546875" style="795" customWidth="1"/>
    <col min="9475" max="9475" width="12.42578125" style="795" customWidth="1"/>
    <col min="9476" max="9484" width="9.85546875" style="795" customWidth="1"/>
    <col min="9485" max="9486" width="11.85546875" style="795" customWidth="1"/>
    <col min="9487" max="9488" width="12.42578125" style="795" customWidth="1"/>
    <col min="9489" max="9489" width="9.85546875" style="795" customWidth="1"/>
    <col min="9490" max="9490" width="9.7109375" style="795" customWidth="1"/>
    <col min="9491" max="9491" width="13.140625" style="795" customWidth="1"/>
    <col min="9492" max="9492" width="18.85546875" style="795" customWidth="1"/>
    <col min="9493" max="9728" width="9.140625" style="795"/>
    <col min="9729" max="9729" width="5.85546875" style="795" customWidth="1"/>
    <col min="9730" max="9730" width="35.85546875" style="795" customWidth="1"/>
    <col min="9731" max="9731" width="12.42578125" style="795" customWidth="1"/>
    <col min="9732" max="9740" width="9.85546875" style="795" customWidth="1"/>
    <col min="9741" max="9742" width="11.85546875" style="795" customWidth="1"/>
    <col min="9743" max="9744" width="12.42578125" style="795" customWidth="1"/>
    <col min="9745" max="9745" width="9.85546875" style="795" customWidth="1"/>
    <col min="9746" max="9746" width="9.7109375" style="795" customWidth="1"/>
    <col min="9747" max="9747" width="13.140625" style="795" customWidth="1"/>
    <col min="9748" max="9748" width="18.85546875" style="795" customWidth="1"/>
    <col min="9749" max="9984" width="9.140625" style="795"/>
    <col min="9985" max="9985" width="5.85546875" style="795" customWidth="1"/>
    <col min="9986" max="9986" width="35.85546875" style="795" customWidth="1"/>
    <col min="9987" max="9987" width="12.42578125" style="795" customWidth="1"/>
    <col min="9988" max="9996" width="9.85546875" style="795" customWidth="1"/>
    <col min="9997" max="9998" width="11.85546875" style="795" customWidth="1"/>
    <col min="9999" max="10000" width="12.42578125" style="795" customWidth="1"/>
    <col min="10001" max="10001" width="9.85546875" style="795" customWidth="1"/>
    <col min="10002" max="10002" width="9.7109375" style="795" customWidth="1"/>
    <col min="10003" max="10003" width="13.140625" style="795" customWidth="1"/>
    <col min="10004" max="10004" width="18.85546875" style="795" customWidth="1"/>
    <col min="10005" max="10240" width="9.140625" style="795"/>
    <col min="10241" max="10241" width="5.85546875" style="795" customWidth="1"/>
    <col min="10242" max="10242" width="35.85546875" style="795" customWidth="1"/>
    <col min="10243" max="10243" width="12.42578125" style="795" customWidth="1"/>
    <col min="10244" max="10252" width="9.85546875" style="795" customWidth="1"/>
    <col min="10253" max="10254" width="11.85546875" style="795" customWidth="1"/>
    <col min="10255" max="10256" width="12.42578125" style="795" customWidth="1"/>
    <col min="10257" max="10257" width="9.85546875" style="795" customWidth="1"/>
    <col min="10258" max="10258" width="9.7109375" style="795" customWidth="1"/>
    <col min="10259" max="10259" width="13.140625" style="795" customWidth="1"/>
    <col min="10260" max="10260" width="18.85546875" style="795" customWidth="1"/>
    <col min="10261" max="10496" width="9.140625" style="795"/>
    <col min="10497" max="10497" width="5.85546875" style="795" customWidth="1"/>
    <col min="10498" max="10498" width="35.85546875" style="795" customWidth="1"/>
    <col min="10499" max="10499" width="12.42578125" style="795" customWidth="1"/>
    <col min="10500" max="10508" width="9.85546875" style="795" customWidth="1"/>
    <col min="10509" max="10510" width="11.85546875" style="795" customWidth="1"/>
    <col min="10511" max="10512" width="12.42578125" style="795" customWidth="1"/>
    <col min="10513" max="10513" width="9.85546875" style="795" customWidth="1"/>
    <col min="10514" max="10514" width="9.7109375" style="795" customWidth="1"/>
    <col min="10515" max="10515" width="13.140625" style="795" customWidth="1"/>
    <col min="10516" max="10516" width="18.85546875" style="795" customWidth="1"/>
    <col min="10517" max="10752" width="9.140625" style="795"/>
    <col min="10753" max="10753" width="5.85546875" style="795" customWidth="1"/>
    <col min="10754" max="10754" width="35.85546875" style="795" customWidth="1"/>
    <col min="10755" max="10755" width="12.42578125" style="795" customWidth="1"/>
    <col min="10756" max="10764" width="9.85546875" style="795" customWidth="1"/>
    <col min="10765" max="10766" width="11.85546875" style="795" customWidth="1"/>
    <col min="10767" max="10768" width="12.42578125" style="795" customWidth="1"/>
    <col min="10769" max="10769" width="9.85546875" style="795" customWidth="1"/>
    <col min="10770" max="10770" width="9.7109375" style="795" customWidth="1"/>
    <col min="10771" max="10771" width="13.140625" style="795" customWidth="1"/>
    <col min="10772" max="10772" width="18.85546875" style="795" customWidth="1"/>
    <col min="10773" max="11008" width="9.140625" style="795"/>
    <col min="11009" max="11009" width="5.85546875" style="795" customWidth="1"/>
    <col min="11010" max="11010" width="35.85546875" style="795" customWidth="1"/>
    <col min="11011" max="11011" width="12.42578125" style="795" customWidth="1"/>
    <col min="11012" max="11020" width="9.85546875" style="795" customWidth="1"/>
    <col min="11021" max="11022" width="11.85546875" style="795" customWidth="1"/>
    <col min="11023" max="11024" width="12.42578125" style="795" customWidth="1"/>
    <col min="11025" max="11025" width="9.85546875" style="795" customWidth="1"/>
    <col min="11026" max="11026" width="9.7109375" style="795" customWidth="1"/>
    <col min="11027" max="11027" width="13.140625" style="795" customWidth="1"/>
    <col min="11028" max="11028" width="18.85546875" style="795" customWidth="1"/>
    <col min="11029" max="11264" width="9.140625" style="795"/>
    <col min="11265" max="11265" width="5.85546875" style="795" customWidth="1"/>
    <col min="11266" max="11266" width="35.85546875" style="795" customWidth="1"/>
    <col min="11267" max="11267" width="12.42578125" style="795" customWidth="1"/>
    <col min="11268" max="11276" width="9.85546875" style="795" customWidth="1"/>
    <col min="11277" max="11278" width="11.85546875" style="795" customWidth="1"/>
    <col min="11279" max="11280" width="12.42578125" style="795" customWidth="1"/>
    <col min="11281" max="11281" width="9.85546875" style="795" customWidth="1"/>
    <col min="11282" max="11282" width="9.7109375" style="795" customWidth="1"/>
    <col min="11283" max="11283" width="13.140625" style="795" customWidth="1"/>
    <col min="11284" max="11284" width="18.85546875" style="795" customWidth="1"/>
    <col min="11285" max="11520" width="9.140625" style="795"/>
    <col min="11521" max="11521" width="5.85546875" style="795" customWidth="1"/>
    <col min="11522" max="11522" width="35.85546875" style="795" customWidth="1"/>
    <col min="11523" max="11523" width="12.42578125" style="795" customWidth="1"/>
    <col min="11524" max="11532" width="9.85546875" style="795" customWidth="1"/>
    <col min="11533" max="11534" width="11.85546875" style="795" customWidth="1"/>
    <col min="11535" max="11536" width="12.42578125" style="795" customWidth="1"/>
    <col min="11537" max="11537" width="9.85546875" style="795" customWidth="1"/>
    <col min="11538" max="11538" width="9.7109375" style="795" customWidth="1"/>
    <col min="11539" max="11539" width="13.140625" style="795" customWidth="1"/>
    <col min="11540" max="11540" width="18.85546875" style="795" customWidth="1"/>
    <col min="11541" max="11776" width="9.140625" style="795"/>
    <col min="11777" max="11777" width="5.85546875" style="795" customWidth="1"/>
    <col min="11778" max="11778" width="35.85546875" style="795" customWidth="1"/>
    <col min="11779" max="11779" width="12.42578125" style="795" customWidth="1"/>
    <col min="11780" max="11788" width="9.85546875" style="795" customWidth="1"/>
    <col min="11789" max="11790" width="11.85546875" style="795" customWidth="1"/>
    <col min="11791" max="11792" width="12.42578125" style="795" customWidth="1"/>
    <col min="11793" max="11793" width="9.85546875" style="795" customWidth="1"/>
    <col min="11794" max="11794" width="9.7109375" style="795" customWidth="1"/>
    <col min="11795" max="11795" width="13.140625" style="795" customWidth="1"/>
    <col min="11796" max="11796" width="18.85546875" style="795" customWidth="1"/>
    <col min="11797" max="12032" width="9.140625" style="795"/>
    <col min="12033" max="12033" width="5.85546875" style="795" customWidth="1"/>
    <col min="12034" max="12034" width="35.85546875" style="795" customWidth="1"/>
    <col min="12035" max="12035" width="12.42578125" style="795" customWidth="1"/>
    <col min="12036" max="12044" width="9.85546875" style="795" customWidth="1"/>
    <col min="12045" max="12046" width="11.85546875" style="795" customWidth="1"/>
    <col min="12047" max="12048" width="12.42578125" style="795" customWidth="1"/>
    <col min="12049" max="12049" width="9.85546875" style="795" customWidth="1"/>
    <col min="12050" max="12050" width="9.7109375" style="795" customWidth="1"/>
    <col min="12051" max="12051" width="13.140625" style="795" customWidth="1"/>
    <col min="12052" max="12052" width="18.85546875" style="795" customWidth="1"/>
    <col min="12053" max="12288" width="9.140625" style="795"/>
    <col min="12289" max="12289" width="5.85546875" style="795" customWidth="1"/>
    <col min="12290" max="12290" width="35.85546875" style="795" customWidth="1"/>
    <col min="12291" max="12291" width="12.42578125" style="795" customWidth="1"/>
    <col min="12292" max="12300" width="9.85546875" style="795" customWidth="1"/>
    <col min="12301" max="12302" width="11.85546875" style="795" customWidth="1"/>
    <col min="12303" max="12304" width="12.42578125" style="795" customWidth="1"/>
    <col min="12305" max="12305" width="9.85546875" style="795" customWidth="1"/>
    <col min="12306" max="12306" width="9.7109375" style="795" customWidth="1"/>
    <col min="12307" max="12307" width="13.140625" style="795" customWidth="1"/>
    <col min="12308" max="12308" width="18.85546875" style="795" customWidth="1"/>
    <col min="12309" max="12544" width="9.140625" style="795"/>
    <col min="12545" max="12545" width="5.85546875" style="795" customWidth="1"/>
    <col min="12546" max="12546" width="35.85546875" style="795" customWidth="1"/>
    <col min="12547" max="12547" width="12.42578125" style="795" customWidth="1"/>
    <col min="12548" max="12556" width="9.85546875" style="795" customWidth="1"/>
    <col min="12557" max="12558" width="11.85546875" style="795" customWidth="1"/>
    <col min="12559" max="12560" width="12.42578125" style="795" customWidth="1"/>
    <col min="12561" max="12561" width="9.85546875" style="795" customWidth="1"/>
    <col min="12562" max="12562" width="9.7109375" style="795" customWidth="1"/>
    <col min="12563" max="12563" width="13.140625" style="795" customWidth="1"/>
    <col min="12564" max="12564" width="18.85546875" style="795" customWidth="1"/>
    <col min="12565" max="12800" width="9.140625" style="795"/>
    <col min="12801" max="12801" width="5.85546875" style="795" customWidth="1"/>
    <col min="12802" max="12802" width="35.85546875" style="795" customWidth="1"/>
    <col min="12803" max="12803" width="12.42578125" style="795" customWidth="1"/>
    <col min="12804" max="12812" width="9.85546875" style="795" customWidth="1"/>
    <col min="12813" max="12814" width="11.85546875" style="795" customWidth="1"/>
    <col min="12815" max="12816" width="12.42578125" style="795" customWidth="1"/>
    <col min="12817" max="12817" width="9.85546875" style="795" customWidth="1"/>
    <col min="12818" max="12818" width="9.7109375" style="795" customWidth="1"/>
    <col min="12819" max="12819" width="13.140625" style="795" customWidth="1"/>
    <col min="12820" max="12820" width="18.85546875" style="795" customWidth="1"/>
    <col min="12821" max="13056" width="9.140625" style="795"/>
    <col min="13057" max="13057" width="5.85546875" style="795" customWidth="1"/>
    <col min="13058" max="13058" width="35.85546875" style="795" customWidth="1"/>
    <col min="13059" max="13059" width="12.42578125" style="795" customWidth="1"/>
    <col min="13060" max="13068" width="9.85546875" style="795" customWidth="1"/>
    <col min="13069" max="13070" width="11.85546875" style="795" customWidth="1"/>
    <col min="13071" max="13072" width="12.42578125" style="795" customWidth="1"/>
    <col min="13073" max="13073" width="9.85546875" style="795" customWidth="1"/>
    <col min="13074" max="13074" width="9.7109375" style="795" customWidth="1"/>
    <col min="13075" max="13075" width="13.140625" style="795" customWidth="1"/>
    <col min="13076" max="13076" width="18.85546875" style="795" customWidth="1"/>
    <col min="13077" max="13312" width="9.140625" style="795"/>
    <col min="13313" max="13313" width="5.85546875" style="795" customWidth="1"/>
    <col min="13314" max="13314" width="35.85546875" style="795" customWidth="1"/>
    <col min="13315" max="13315" width="12.42578125" style="795" customWidth="1"/>
    <col min="13316" max="13324" width="9.85546875" style="795" customWidth="1"/>
    <col min="13325" max="13326" width="11.85546875" style="795" customWidth="1"/>
    <col min="13327" max="13328" width="12.42578125" style="795" customWidth="1"/>
    <col min="13329" max="13329" width="9.85546875" style="795" customWidth="1"/>
    <col min="13330" max="13330" width="9.7109375" style="795" customWidth="1"/>
    <col min="13331" max="13331" width="13.140625" style="795" customWidth="1"/>
    <col min="13332" max="13332" width="18.85546875" style="795" customWidth="1"/>
    <col min="13333" max="13568" width="9.140625" style="795"/>
    <col min="13569" max="13569" width="5.85546875" style="795" customWidth="1"/>
    <col min="13570" max="13570" width="35.85546875" style="795" customWidth="1"/>
    <col min="13571" max="13571" width="12.42578125" style="795" customWidth="1"/>
    <col min="13572" max="13580" width="9.85546875" style="795" customWidth="1"/>
    <col min="13581" max="13582" width="11.85546875" style="795" customWidth="1"/>
    <col min="13583" max="13584" width="12.42578125" style="795" customWidth="1"/>
    <col min="13585" max="13585" width="9.85546875" style="795" customWidth="1"/>
    <col min="13586" max="13586" width="9.7109375" style="795" customWidth="1"/>
    <col min="13587" max="13587" width="13.140625" style="795" customWidth="1"/>
    <col min="13588" max="13588" width="18.85546875" style="795" customWidth="1"/>
    <col min="13589" max="13824" width="9.140625" style="795"/>
    <col min="13825" max="13825" width="5.85546875" style="795" customWidth="1"/>
    <col min="13826" max="13826" width="35.85546875" style="795" customWidth="1"/>
    <col min="13827" max="13827" width="12.42578125" style="795" customWidth="1"/>
    <col min="13828" max="13836" width="9.85546875" style="795" customWidth="1"/>
    <col min="13837" max="13838" width="11.85546875" style="795" customWidth="1"/>
    <col min="13839" max="13840" width="12.42578125" style="795" customWidth="1"/>
    <col min="13841" max="13841" width="9.85546875" style="795" customWidth="1"/>
    <col min="13842" max="13842" width="9.7109375" style="795" customWidth="1"/>
    <col min="13843" max="13843" width="13.140625" style="795" customWidth="1"/>
    <col min="13844" max="13844" width="18.85546875" style="795" customWidth="1"/>
    <col min="13845" max="14080" width="9.140625" style="795"/>
    <col min="14081" max="14081" width="5.85546875" style="795" customWidth="1"/>
    <col min="14082" max="14082" width="35.85546875" style="795" customWidth="1"/>
    <col min="14083" max="14083" width="12.42578125" style="795" customWidth="1"/>
    <col min="14084" max="14092" width="9.85546875" style="795" customWidth="1"/>
    <col min="14093" max="14094" width="11.85546875" style="795" customWidth="1"/>
    <col min="14095" max="14096" width="12.42578125" style="795" customWidth="1"/>
    <col min="14097" max="14097" width="9.85546875" style="795" customWidth="1"/>
    <col min="14098" max="14098" width="9.7109375" style="795" customWidth="1"/>
    <col min="14099" max="14099" width="13.140625" style="795" customWidth="1"/>
    <col min="14100" max="14100" width="18.85546875" style="795" customWidth="1"/>
    <col min="14101" max="14336" width="9.140625" style="795"/>
    <col min="14337" max="14337" width="5.85546875" style="795" customWidth="1"/>
    <col min="14338" max="14338" width="35.85546875" style="795" customWidth="1"/>
    <col min="14339" max="14339" width="12.42578125" style="795" customWidth="1"/>
    <col min="14340" max="14348" width="9.85546875" style="795" customWidth="1"/>
    <col min="14349" max="14350" width="11.85546875" style="795" customWidth="1"/>
    <col min="14351" max="14352" width="12.42578125" style="795" customWidth="1"/>
    <col min="14353" max="14353" width="9.85546875" style="795" customWidth="1"/>
    <col min="14354" max="14354" width="9.7109375" style="795" customWidth="1"/>
    <col min="14355" max="14355" width="13.140625" style="795" customWidth="1"/>
    <col min="14356" max="14356" width="18.85546875" style="795" customWidth="1"/>
    <col min="14357" max="14592" width="9.140625" style="795"/>
    <col min="14593" max="14593" width="5.85546875" style="795" customWidth="1"/>
    <col min="14594" max="14594" width="35.85546875" style="795" customWidth="1"/>
    <col min="14595" max="14595" width="12.42578125" style="795" customWidth="1"/>
    <col min="14596" max="14604" width="9.85546875" style="795" customWidth="1"/>
    <col min="14605" max="14606" width="11.85546875" style="795" customWidth="1"/>
    <col min="14607" max="14608" width="12.42578125" style="795" customWidth="1"/>
    <col min="14609" max="14609" width="9.85546875" style="795" customWidth="1"/>
    <col min="14610" max="14610" width="9.7109375" style="795" customWidth="1"/>
    <col min="14611" max="14611" width="13.140625" style="795" customWidth="1"/>
    <col min="14612" max="14612" width="18.85546875" style="795" customWidth="1"/>
    <col min="14613" max="14848" width="9.140625" style="795"/>
    <col min="14849" max="14849" width="5.85546875" style="795" customWidth="1"/>
    <col min="14850" max="14850" width="35.85546875" style="795" customWidth="1"/>
    <col min="14851" max="14851" width="12.42578125" style="795" customWidth="1"/>
    <col min="14852" max="14860" width="9.85546875" style="795" customWidth="1"/>
    <col min="14861" max="14862" width="11.85546875" style="795" customWidth="1"/>
    <col min="14863" max="14864" width="12.42578125" style="795" customWidth="1"/>
    <col min="14865" max="14865" width="9.85546875" style="795" customWidth="1"/>
    <col min="14866" max="14866" width="9.7109375" style="795" customWidth="1"/>
    <col min="14867" max="14867" width="13.140625" style="795" customWidth="1"/>
    <col min="14868" max="14868" width="18.85546875" style="795" customWidth="1"/>
    <col min="14869" max="15104" width="9.140625" style="795"/>
    <col min="15105" max="15105" width="5.85546875" style="795" customWidth="1"/>
    <col min="15106" max="15106" width="35.85546875" style="795" customWidth="1"/>
    <col min="15107" max="15107" width="12.42578125" style="795" customWidth="1"/>
    <col min="15108" max="15116" width="9.85546875" style="795" customWidth="1"/>
    <col min="15117" max="15118" width="11.85546875" style="795" customWidth="1"/>
    <col min="15119" max="15120" width="12.42578125" style="795" customWidth="1"/>
    <col min="15121" max="15121" width="9.85546875" style="795" customWidth="1"/>
    <col min="15122" max="15122" width="9.7109375" style="795" customWidth="1"/>
    <col min="15123" max="15123" width="13.140625" style="795" customWidth="1"/>
    <col min="15124" max="15124" width="18.85546875" style="795" customWidth="1"/>
    <col min="15125" max="15360" width="9.140625" style="795"/>
    <col min="15361" max="15361" width="5.85546875" style="795" customWidth="1"/>
    <col min="15362" max="15362" width="35.85546875" style="795" customWidth="1"/>
    <col min="15363" max="15363" width="12.42578125" style="795" customWidth="1"/>
    <col min="15364" max="15372" width="9.85546875" style="795" customWidth="1"/>
    <col min="15373" max="15374" width="11.85546875" style="795" customWidth="1"/>
    <col min="15375" max="15376" width="12.42578125" style="795" customWidth="1"/>
    <col min="15377" max="15377" width="9.85546875" style="795" customWidth="1"/>
    <col min="15378" max="15378" width="9.7109375" style="795" customWidth="1"/>
    <col min="15379" max="15379" width="13.140625" style="795" customWidth="1"/>
    <col min="15380" max="15380" width="18.85546875" style="795" customWidth="1"/>
    <col min="15381" max="15616" width="9.140625" style="795"/>
    <col min="15617" max="15617" width="5.85546875" style="795" customWidth="1"/>
    <col min="15618" max="15618" width="35.85546875" style="795" customWidth="1"/>
    <col min="15619" max="15619" width="12.42578125" style="795" customWidth="1"/>
    <col min="15620" max="15628" width="9.85546875" style="795" customWidth="1"/>
    <col min="15629" max="15630" width="11.85546875" style="795" customWidth="1"/>
    <col min="15631" max="15632" width="12.42578125" style="795" customWidth="1"/>
    <col min="15633" max="15633" width="9.85546875" style="795" customWidth="1"/>
    <col min="15634" max="15634" width="9.7109375" style="795" customWidth="1"/>
    <col min="15635" max="15635" width="13.140625" style="795" customWidth="1"/>
    <col min="15636" max="15636" width="18.85546875" style="795" customWidth="1"/>
    <col min="15637" max="15872" width="9.140625" style="795"/>
    <col min="15873" max="15873" width="5.85546875" style="795" customWidth="1"/>
    <col min="15874" max="15874" width="35.85546875" style="795" customWidth="1"/>
    <col min="15875" max="15875" width="12.42578125" style="795" customWidth="1"/>
    <col min="15876" max="15884" width="9.85546875" style="795" customWidth="1"/>
    <col min="15885" max="15886" width="11.85546875" style="795" customWidth="1"/>
    <col min="15887" max="15888" width="12.42578125" style="795" customWidth="1"/>
    <col min="15889" max="15889" width="9.85546875" style="795" customWidth="1"/>
    <col min="15890" max="15890" width="9.7109375" style="795" customWidth="1"/>
    <col min="15891" max="15891" width="13.140625" style="795" customWidth="1"/>
    <col min="15892" max="15892" width="18.85546875" style="795" customWidth="1"/>
    <col min="15893" max="16128" width="9.140625" style="795"/>
    <col min="16129" max="16129" width="5.85546875" style="795" customWidth="1"/>
    <col min="16130" max="16130" width="35.85546875" style="795" customWidth="1"/>
    <col min="16131" max="16131" width="12.42578125" style="795" customWidth="1"/>
    <col min="16132" max="16140" width="9.85546875" style="795" customWidth="1"/>
    <col min="16141" max="16142" width="11.85546875" style="795" customWidth="1"/>
    <col min="16143" max="16144" width="12.42578125" style="795" customWidth="1"/>
    <col min="16145" max="16145" width="9.85546875" style="795" customWidth="1"/>
    <col min="16146" max="16146" width="9.7109375" style="795" customWidth="1"/>
    <col min="16147" max="16147" width="13.140625" style="795" customWidth="1"/>
    <col min="16148" max="16148" width="18.85546875" style="795" customWidth="1"/>
    <col min="16149" max="16384" width="9.140625" style="795"/>
  </cols>
  <sheetData>
    <row r="1" spans="1:20" ht="21" customHeight="1">
      <c r="A1" s="790"/>
      <c r="B1" s="790"/>
      <c r="C1" s="791"/>
      <c r="D1" s="791"/>
      <c r="E1" s="791"/>
      <c r="F1" s="791"/>
      <c r="G1" s="792"/>
      <c r="H1" s="792"/>
      <c r="I1" s="792"/>
      <c r="J1" s="792"/>
      <c r="K1" s="792"/>
      <c r="L1" s="791"/>
      <c r="M1" s="791"/>
      <c r="N1" s="791"/>
      <c r="O1" s="791"/>
      <c r="P1" s="793"/>
      <c r="Q1" s="793"/>
      <c r="R1" s="794" t="s">
        <v>861</v>
      </c>
    </row>
    <row r="2" spans="1:20" ht="18.75">
      <c r="A2" s="1186" t="s">
        <v>862</v>
      </c>
      <c r="B2" s="1187"/>
      <c r="C2" s="1187"/>
      <c r="D2" s="1187"/>
      <c r="E2" s="1187"/>
      <c r="F2" s="1187"/>
      <c r="G2" s="1187"/>
      <c r="H2" s="1187"/>
      <c r="I2" s="1187"/>
      <c r="J2" s="1187"/>
      <c r="K2" s="1187"/>
      <c r="L2" s="1187"/>
      <c r="M2" s="1187"/>
      <c r="N2" s="1187"/>
      <c r="O2" s="1187"/>
      <c r="P2" s="1187"/>
      <c r="Q2" s="1187"/>
      <c r="R2" s="1187"/>
    </row>
    <row r="3" spans="1:20" ht="18" customHeight="1">
      <c r="A3" s="1188" t="s">
        <v>1210</v>
      </c>
      <c r="B3" s="1188"/>
      <c r="C3" s="1188"/>
      <c r="D3" s="1188"/>
      <c r="E3" s="1188"/>
      <c r="F3" s="1188"/>
      <c r="G3" s="1188"/>
      <c r="H3" s="1188"/>
      <c r="I3" s="1188"/>
      <c r="J3" s="1188"/>
      <c r="K3" s="1188"/>
      <c r="L3" s="1188"/>
      <c r="M3" s="1188"/>
      <c r="N3" s="1188"/>
      <c r="O3" s="1188"/>
      <c r="P3" s="1188"/>
      <c r="Q3" s="1188"/>
      <c r="R3" s="1188"/>
      <c r="S3" s="1188"/>
    </row>
    <row r="4" spans="1:20" ht="19.5" customHeight="1">
      <c r="A4" s="797"/>
      <c r="B4" s="797"/>
      <c r="C4" s="798"/>
      <c r="D4" s="798"/>
      <c r="E4" s="798"/>
      <c r="F4" s="798"/>
      <c r="G4" s="796"/>
      <c r="H4" s="796"/>
      <c r="I4" s="796"/>
      <c r="J4" s="796"/>
      <c r="K4" s="796"/>
      <c r="L4" s="796"/>
      <c r="M4" s="796"/>
      <c r="N4" s="796"/>
      <c r="O4" s="796"/>
      <c r="P4" s="796"/>
      <c r="Q4" s="796"/>
      <c r="R4" s="799" t="s">
        <v>2</v>
      </c>
    </row>
    <row r="5" spans="1:20" s="800" customFormat="1" ht="30" customHeight="1">
      <c r="A5" s="1185" t="s">
        <v>3</v>
      </c>
      <c r="B5" s="1189" t="s">
        <v>88</v>
      </c>
      <c r="C5" s="1189" t="s">
        <v>89</v>
      </c>
      <c r="D5" s="1185" t="s">
        <v>263</v>
      </c>
      <c r="E5" s="1185" t="s">
        <v>264</v>
      </c>
      <c r="F5" s="1185" t="s">
        <v>50</v>
      </c>
      <c r="G5" s="1185" t="s">
        <v>51</v>
      </c>
      <c r="H5" s="1185" t="s">
        <v>52</v>
      </c>
      <c r="I5" s="1185" t="s">
        <v>53</v>
      </c>
      <c r="J5" s="1185" t="s">
        <v>54</v>
      </c>
      <c r="K5" s="1185" t="s">
        <v>55</v>
      </c>
      <c r="L5" s="1185" t="s">
        <v>56</v>
      </c>
      <c r="M5" s="1185" t="s">
        <v>57</v>
      </c>
      <c r="N5" s="1185" t="s">
        <v>40</v>
      </c>
      <c r="O5" s="1185"/>
      <c r="P5" s="1185" t="s">
        <v>58</v>
      </c>
      <c r="Q5" s="1185" t="s">
        <v>59</v>
      </c>
      <c r="R5" s="1185" t="s">
        <v>60</v>
      </c>
      <c r="S5" s="1185" t="s">
        <v>265</v>
      </c>
    </row>
    <row r="6" spans="1:20" s="800" customFormat="1" ht="65.25" customHeight="1">
      <c r="A6" s="1189"/>
      <c r="B6" s="1189"/>
      <c r="C6" s="1189"/>
      <c r="D6" s="1185"/>
      <c r="E6" s="1185"/>
      <c r="F6" s="1185"/>
      <c r="G6" s="1185"/>
      <c r="H6" s="1185"/>
      <c r="I6" s="1185"/>
      <c r="J6" s="1185"/>
      <c r="K6" s="1185"/>
      <c r="L6" s="1185"/>
      <c r="M6" s="1185"/>
      <c r="N6" s="1185" t="s">
        <v>266</v>
      </c>
      <c r="O6" s="1185" t="s">
        <v>267</v>
      </c>
      <c r="P6" s="1185"/>
      <c r="Q6" s="1185"/>
      <c r="R6" s="1185"/>
      <c r="S6" s="1185"/>
    </row>
    <row r="7" spans="1:20" s="800" customFormat="1" ht="54.75" customHeight="1">
      <c r="A7" s="1189"/>
      <c r="B7" s="1189"/>
      <c r="C7" s="1189"/>
      <c r="D7" s="1185"/>
      <c r="E7" s="1185"/>
      <c r="F7" s="1185"/>
      <c r="G7" s="1185"/>
      <c r="H7" s="1185"/>
      <c r="I7" s="1185"/>
      <c r="J7" s="1185"/>
      <c r="K7" s="1185"/>
      <c r="L7" s="1185"/>
      <c r="M7" s="1185"/>
      <c r="N7" s="1185"/>
      <c r="O7" s="1185"/>
      <c r="P7" s="1185"/>
      <c r="Q7" s="1185"/>
      <c r="R7" s="1185"/>
      <c r="S7" s="1185"/>
    </row>
    <row r="8" spans="1:20" s="800" customFormat="1" ht="13.5" customHeight="1">
      <c r="A8" s="1189"/>
      <c r="B8" s="1189"/>
      <c r="C8" s="1189"/>
      <c r="D8" s="1185"/>
      <c r="E8" s="1185"/>
      <c r="F8" s="1185"/>
      <c r="G8" s="1185"/>
      <c r="H8" s="1185"/>
      <c r="I8" s="1185"/>
      <c r="J8" s="1185"/>
      <c r="K8" s="1185"/>
      <c r="L8" s="1185"/>
      <c r="M8" s="1185"/>
      <c r="N8" s="1185"/>
      <c r="O8" s="1185"/>
      <c r="P8" s="1185"/>
      <c r="Q8" s="1185"/>
      <c r="R8" s="1185"/>
      <c r="S8" s="1185"/>
    </row>
    <row r="9" spans="1:20" s="803" customFormat="1" ht="17.25" customHeight="1">
      <c r="A9" s="801" t="s">
        <v>10</v>
      </c>
      <c r="B9" s="801" t="s">
        <v>11</v>
      </c>
      <c r="C9" s="801">
        <v>1</v>
      </c>
      <c r="D9" s="802">
        <f>C9+1</f>
        <v>2</v>
      </c>
      <c r="E9" s="802">
        <f t="shared" ref="E9:S9" si="0">D9+1</f>
        <v>3</v>
      </c>
      <c r="F9" s="802">
        <f t="shared" si="0"/>
        <v>4</v>
      </c>
      <c r="G9" s="802">
        <f t="shared" si="0"/>
        <v>5</v>
      </c>
      <c r="H9" s="802">
        <f t="shared" si="0"/>
        <v>6</v>
      </c>
      <c r="I9" s="802">
        <f t="shared" si="0"/>
        <v>7</v>
      </c>
      <c r="J9" s="802">
        <f t="shared" si="0"/>
        <v>8</v>
      </c>
      <c r="K9" s="802">
        <f t="shared" si="0"/>
        <v>9</v>
      </c>
      <c r="L9" s="802">
        <f t="shared" si="0"/>
        <v>10</v>
      </c>
      <c r="M9" s="802">
        <f t="shared" si="0"/>
        <v>11</v>
      </c>
      <c r="N9" s="802">
        <f t="shared" si="0"/>
        <v>12</v>
      </c>
      <c r="O9" s="802">
        <f t="shared" si="0"/>
        <v>13</v>
      </c>
      <c r="P9" s="802">
        <f t="shared" si="0"/>
        <v>14</v>
      </c>
      <c r="Q9" s="802">
        <f t="shared" si="0"/>
        <v>15</v>
      </c>
      <c r="R9" s="802">
        <f t="shared" si="0"/>
        <v>16</v>
      </c>
      <c r="S9" s="802">
        <f t="shared" si="0"/>
        <v>17</v>
      </c>
    </row>
    <row r="10" spans="1:20" s="793" customFormat="1" ht="18.75">
      <c r="A10" s="804"/>
      <c r="B10" s="805" t="s">
        <v>102</v>
      </c>
      <c r="C10" s="337">
        <f t="shared" ref="C10:S10" si="1">C11+C29+C30</f>
        <v>1886711</v>
      </c>
      <c r="D10" s="337">
        <f t="shared" si="1"/>
        <v>85900</v>
      </c>
      <c r="E10" s="337">
        <f t="shared" si="1"/>
        <v>25900</v>
      </c>
      <c r="F10" s="337">
        <f t="shared" si="1"/>
        <v>50123</v>
      </c>
      <c r="G10" s="337">
        <f t="shared" si="1"/>
        <v>0</v>
      </c>
      <c r="H10" s="337">
        <f t="shared" si="1"/>
        <v>32000</v>
      </c>
      <c r="I10" s="337">
        <f t="shared" si="1"/>
        <v>15000</v>
      </c>
      <c r="J10" s="337">
        <f t="shared" si="1"/>
        <v>0</v>
      </c>
      <c r="K10" s="337">
        <f t="shared" si="1"/>
        <v>0</v>
      </c>
      <c r="L10" s="337">
        <f t="shared" si="1"/>
        <v>0</v>
      </c>
      <c r="M10" s="337">
        <f t="shared" si="1"/>
        <v>172907</v>
      </c>
      <c r="N10" s="337">
        <f t="shared" si="1"/>
        <v>146067</v>
      </c>
      <c r="O10" s="337">
        <f t="shared" si="1"/>
        <v>26840</v>
      </c>
      <c r="P10" s="337">
        <f t="shared" si="1"/>
        <v>0</v>
      </c>
      <c r="Q10" s="337">
        <f t="shared" si="1"/>
        <v>0</v>
      </c>
      <c r="R10" s="337">
        <f t="shared" si="1"/>
        <v>44594</v>
      </c>
      <c r="S10" s="337">
        <f t="shared" si="1"/>
        <v>1460287</v>
      </c>
      <c r="T10" s="806"/>
    </row>
    <row r="11" spans="1:20" s="810" customFormat="1" ht="18.75">
      <c r="A11" s="807" t="s">
        <v>15</v>
      </c>
      <c r="B11" s="808" t="s">
        <v>99</v>
      </c>
      <c r="C11" s="338">
        <f t="shared" ref="C11:S11" si="2">SUM(C12:C28)</f>
        <v>426424</v>
      </c>
      <c r="D11" s="338">
        <f t="shared" si="2"/>
        <v>85900</v>
      </c>
      <c r="E11" s="338">
        <f t="shared" si="2"/>
        <v>25900</v>
      </c>
      <c r="F11" s="338">
        <f t="shared" si="2"/>
        <v>50123</v>
      </c>
      <c r="G11" s="338">
        <f t="shared" si="2"/>
        <v>0</v>
      </c>
      <c r="H11" s="338">
        <f t="shared" si="2"/>
        <v>32000</v>
      </c>
      <c r="I11" s="338">
        <f t="shared" si="2"/>
        <v>15000</v>
      </c>
      <c r="J11" s="338">
        <f t="shared" si="2"/>
        <v>0</v>
      </c>
      <c r="K11" s="338">
        <f t="shared" si="2"/>
        <v>0</v>
      </c>
      <c r="L11" s="338">
        <f t="shared" si="2"/>
        <v>0</v>
      </c>
      <c r="M11" s="338">
        <f t="shared" si="2"/>
        <v>172907</v>
      </c>
      <c r="N11" s="338">
        <f t="shared" si="2"/>
        <v>146067</v>
      </c>
      <c r="O11" s="338">
        <f t="shared" si="2"/>
        <v>26840</v>
      </c>
      <c r="P11" s="338">
        <f t="shared" si="2"/>
        <v>0</v>
      </c>
      <c r="Q11" s="338">
        <f t="shared" si="2"/>
        <v>0</v>
      </c>
      <c r="R11" s="338">
        <f t="shared" si="2"/>
        <v>44594</v>
      </c>
      <c r="S11" s="338">
        <f t="shared" si="2"/>
        <v>0</v>
      </c>
      <c r="T11" s="809"/>
    </row>
    <row r="12" spans="1:20" s="814" customFormat="1" ht="18.75">
      <c r="A12" s="811">
        <v>1</v>
      </c>
      <c r="B12" s="812" t="s">
        <v>109</v>
      </c>
      <c r="C12" s="339">
        <f>SUM(D12:M12)+SUM(P12:R12)</f>
        <v>18000</v>
      </c>
      <c r="D12" s="339">
        <v>0</v>
      </c>
      <c r="E12" s="339">
        <v>0</v>
      </c>
      <c r="F12" s="339">
        <v>0</v>
      </c>
      <c r="G12" s="339">
        <v>0</v>
      </c>
      <c r="H12" s="339">
        <v>0</v>
      </c>
      <c r="I12" s="339">
        <v>0</v>
      </c>
      <c r="J12" s="339">
        <v>0</v>
      </c>
      <c r="K12" s="339">
        <v>0</v>
      </c>
      <c r="L12" s="339">
        <v>0</v>
      </c>
      <c r="M12" s="339">
        <f t="shared" ref="M12:M29" si="3">N12+O12</f>
        <v>18000</v>
      </c>
      <c r="N12" s="339">
        <v>0</v>
      </c>
      <c r="O12" s="339">
        <v>18000</v>
      </c>
      <c r="P12" s="339">
        <v>0</v>
      </c>
      <c r="Q12" s="339">
        <v>0</v>
      </c>
      <c r="R12" s="813">
        <v>0</v>
      </c>
      <c r="S12" s="339"/>
    </row>
    <row r="13" spans="1:20" s="798" customFormat="1" ht="18.75">
      <c r="A13" s="811">
        <v>2</v>
      </c>
      <c r="B13" s="815" t="s">
        <v>124</v>
      </c>
      <c r="C13" s="816">
        <f>SUM(D13:M13)+SUM(P13:R13)</f>
        <v>32000</v>
      </c>
      <c r="D13" s="816"/>
      <c r="E13" s="816"/>
      <c r="F13" s="816"/>
      <c r="G13" s="816"/>
      <c r="H13" s="816">
        <v>32000</v>
      </c>
      <c r="I13" s="816"/>
      <c r="J13" s="816"/>
      <c r="K13" s="816"/>
      <c r="L13" s="816"/>
      <c r="M13" s="816"/>
      <c r="N13" s="816"/>
      <c r="O13" s="816"/>
      <c r="P13" s="816"/>
      <c r="Q13" s="816"/>
      <c r="R13" s="817"/>
      <c r="S13" s="816"/>
    </row>
    <row r="14" spans="1:20" s="798" customFormat="1" ht="18.75">
      <c r="A14" s="811">
        <v>3</v>
      </c>
      <c r="B14" s="815" t="s">
        <v>268</v>
      </c>
      <c r="C14" s="816">
        <f>SUM(D14:M14)+SUM(P14:R14)</f>
        <v>79000</v>
      </c>
      <c r="D14" s="816">
        <v>79000</v>
      </c>
      <c r="E14" s="816">
        <v>0</v>
      </c>
      <c r="F14" s="816">
        <v>0</v>
      </c>
      <c r="G14" s="816">
        <v>0</v>
      </c>
      <c r="H14" s="816">
        <v>0</v>
      </c>
      <c r="I14" s="816">
        <v>0</v>
      </c>
      <c r="J14" s="816">
        <v>0</v>
      </c>
      <c r="K14" s="816">
        <v>0</v>
      </c>
      <c r="L14" s="816">
        <v>0</v>
      </c>
      <c r="M14" s="816">
        <f t="shared" si="3"/>
        <v>0</v>
      </c>
      <c r="N14" s="816">
        <v>0</v>
      </c>
      <c r="O14" s="816">
        <v>0</v>
      </c>
      <c r="P14" s="816">
        <v>0</v>
      </c>
      <c r="Q14" s="816">
        <v>0</v>
      </c>
      <c r="R14" s="817">
        <v>0</v>
      </c>
      <c r="S14" s="816"/>
    </row>
    <row r="15" spans="1:20" s="814" customFormat="1" ht="18.75">
      <c r="A15" s="811">
        <v>4</v>
      </c>
      <c r="B15" s="812" t="s">
        <v>270</v>
      </c>
      <c r="C15" s="339">
        <f>SUM(D15:M15)+SUM(P15:R15)</f>
        <v>0</v>
      </c>
      <c r="D15" s="339">
        <v>0</v>
      </c>
      <c r="E15" s="339">
        <v>0</v>
      </c>
      <c r="F15" s="339">
        <v>0</v>
      </c>
      <c r="G15" s="339">
        <v>0</v>
      </c>
      <c r="H15" s="339">
        <v>0</v>
      </c>
      <c r="I15" s="339">
        <v>0</v>
      </c>
      <c r="J15" s="339">
        <v>0</v>
      </c>
      <c r="K15" s="339">
        <v>0</v>
      </c>
      <c r="L15" s="339">
        <v>0</v>
      </c>
      <c r="M15" s="339">
        <f t="shared" si="3"/>
        <v>0</v>
      </c>
      <c r="N15" s="339">
        <v>0</v>
      </c>
      <c r="O15" s="339">
        <v>0</v>
      </c>
      <c r="P15" s="339">
        <v>0</v>
      </c>
      <c r="Q15" s="339">
        <v>0</v>
      </c>
      <c r="R15" s="813">
        <v>0</v>
      </c>
      <c r="S15" s="339">
        <v>0</v>
      </c>
    </row>
    <row r="16" spans="1:20" s="814" customFormat="1" ht="18.75">
      <c r="A16" s="811">
        <v>5</v>
      </c>
      <c r="B16" s="812" t="s">
        <v>272</v>
      </c>
      <c r="C16" s="339">
        <f t="shared" ref="C16:C28" si="4">SUM(D16:M16)+SUM(P16:R16)</f>
        <v>15000</v>
      </c>
      <c r="D16" s="339">
        <v>0</v>
      </c>
      <c r="E16" s="339">
        <v>0</v>
      </c>
      <c r="F16" s="339">
        <v>0</v>
      </c>
      <c r="G16" s="339">
        <v>0</v>
      </c>
      <c r="H16" s="339">
        <v>0</v>
      </c>
      <c r="I16" s="339">
        <v>15000</v>
      </c>
      <c r="J16" s="339">
        <v>0</v>
      </c>
      <c r="K16" s="339">
        <v>0</v>
      </c>
      <c r="L16" s="339">
        <v>0</v>
      </c>
      <c r="M16" s="339">
        <f t="shared" si="3"/>
        <v>0</v>
      </c>
      <c r="N16" s="339">
        <v>0</v>
      </c>
      <c r="O16" s="339">
        <v>0</v>
      </c>
      <c r="P16" s="339">
        <v>0</v>
      </c>
      <c r="Q16" s="339">
        <v>0</v>
      </c>
      <c r="R16" s="813">
        <v>0</v>
      </c>
      <c r="S16" s="339">
        <v>0</v>
      </c>
    </row>
    <row r="17" spans="1:21" s="814" customFormat="1" ht="59.25" customHeight="1">
      <c r="A17" s="811">
        <v>6</v>
      </c>
      <c r="B17" s="34" t="s">
        <v>180</v>
      </c>
      <c r="C17" s="339">
        <f t="shared" si="4"/>
        <v>101741</v>
      </c>
      <c r="D17" s="339">
        <v>0</v>
      </c>
      <c r="E17" s="339">
        <v>0</v>
      </c>
      <c r="F17" s="339">
        <v>0</v>
      </c>
      <c r="G17" s="339">
        <v>0</v>
      </c>
      <c r="H17" s="339">
        <v>0</v>
      </c>
      <c r="I17" s="339">
        <f>20000-20000</f>
        <v>0</v>
      </c>
      <c r="J17" s="339">
        <v>0</v>
      </c>
      <c r="K17" s="339">
        <v>0</v>
      </c>
      <c r="L17" s="339">
        <v>0</v>
      </c>
      <c r="M17" s="339">
        <f t="shared" si="3"/>
        <v>101741</v>
      </c>
      <c r="N17" s="339">
        <v>101741</v>
      </c>
      <c r="O17" s="339">
        <v>0</v>
      </c>
      <c r="P17" s="339"/>
      <c r="Q17" s="339">
        <v>0</v>
      </c>
      <c r="R17" s="818"/>
      <c r="S17" s="339"/>
      <c r="T17" s="819"/>
    </row>
    <row r="18" spans="1:21" s="814" customFormat="1" ht="31.5">
      <c r="A18" s="811">
        <v>7</v>
      </c>
      <c r="B18" s="812" t="s">
        <v>277</v>
      </c>
      <c r="C18" s="339">
        <f t="shared" si="4"/>
        <v>8840</v>
      </c>
      <c r="D18" s="339">
        <v>0</v>
      </c>
      <c r="E18" s="339">
        <v>0</v>
      </c>
      <c r="F18" s="339">
        <v>0</v>
      </c>
      <c r="G18" s="339">
        <v>0</v>
      </c>
      <c r="H18" s="339">
        <v>0</v>
      </c>
      <c r="I18" s="339">
        <v>0</v>
      </c>
      <c r="J18" s="339">
        <v>0</v>
      </c>
      <c r="K18" s="339">
        <v>0</v>
      </c>
      <c r="L18" s="339">
        <v>0</v>
      </c>
      <c r="M18" s="339">
        <f t="shared" si="3"/>
        <v>8840</v>
      </c>
      <c r="N18" s="339">
        <v>0</v>
      </c>
      <c r="O18" s="339">
        <v>8840</v>
      </c>
      <c r="P18" s="339">
        <v>0</v>
      </c>
      <c r="Q18" s="339">
        <v>0</v>
      </c>
      <c r="R18" s="339">
        <v>0</v>
      </c>
      <c r="S18" s="339"/>
      <c r="T18" s="820"/>
    </row>
    <row r="19" spans="1:21" s="814" customFormat="1" ht="18.75">
      <c r="A19" s="811">
        <v>8</v>
      </c>
      <c r="B19" s="812" t="s">
        <v>840</v>
      </c>
      <c r="C19" s="339">
        <f t="shared" si="4"/>
        <v>25900</v>
      </c>
      <c r="D19" s="339"/>
      <c r="E19" s="339">
        <v>25900</v>
      </c>
      <c r="F19" s="339"/>
      <c r="G19" s="339"/>
      <c r="H19" s="339"/>
      <c r="I19" s="339"/>
      <c r="J19" s="339"/>
      <c r="K19" s="339"/>
      <c r="L19" s="339"/>
      <c r="M19" s="339"/>
      <c r="N19" s="339"/>
      <c r="O19" s="339"/>
      <c r="P19" s="339"/>
      <c r="Q19" s="339"/>
      <c r="R19" s="339"/>
      <c r="S19" s="339"/>
      <c r="T19" s="820"/>
    </row>
    <row r="20" spans="1:21" s="814" customFormat="1" ht="18.75">
      <c r="A20" s="811">
        <v>9</v>
      </c>
      <c r="B20" s="812" t="s">
        <v>278</v>
      </c>
      <c r="C20" s="339">
        <f t="shared" si="4"/>
        <v>50123</v>
      </c>
      <c r="D20" s="339">
        <v>0</v>
      </c>
      <c r="E20" s="339">
        <v>0</v>
      </c>
      <c r="F20" s="339">
        <v>50123</v>
      </c>
      <c r="G20" s="339">
        <v>0</v>
      </c>
      <c r="H20" s="339">
        <v>0</v>
      </c>
      <c r="I20" s="339">
        <v>0</v>
      </c>
      <c r="J20" s="339">
        <v>0</v>
      </c>
      <c r="K20" s="339">
        <v>0</v>
      </c>
      <c r="L20" s="339">
        <v>0</v>
      </c>
      <c r="M20" s="339">
        <f t="shared" si="3"/>
        <v>0</v>
      </c>
      <c r="N20" s="339">
        <v>0</v>
      </c>
      <c r="O20" s="339">
        <v>0</v>
      </c>
      <c r="P20" s="339">
        <v>0</v>
      </c>
      <c r="Q20" s="339">
        <v>0</v>
      </c>
      <c r="R20" s="339">
        <v>0</v>
      </c>
      <c r="S20" s="339"/>
      <c r="U20" s="820"/>
    </row>
    <row r="21" spans="1:21" s="814" customFormat="1" ht="39.6" customHeight="1">
      <c r="A21" s="811">
        <v>10</v>
      </c>
      <c r="B21" s="821" t="s">
        <v>863</v>
      </c>
      <c r="C21" s="339">
        <f t="shared" si="4"/>
        <v>6900</v>
      </c>
      <c r="D21" s="339">
        <v>6900</v>
      </c>
      <c r="E21" s="339">
        <v>0</v>
      </c>
      <c r="F21" s="339">
        <v>0</v>
      </c>
      <c r="G21" s="339">
        <v>0</v>
      </c>
      <c r="H21" s="339">
        <v>0</v>
      </c>
      <c r="I21" s="339">
        <v>0</v>
      </c>
      <c r="J21" s="339">
        <v>0</v>
      </c>
      <c r="K21" s="339">
        <v>0</v>
      </c>
      <c r="L21" s="339">
        <v>0</v>
      </c>
      <c r="M21" s="339">
        <f t="shared" si="3"/>
        <v>0</v>
      </c>
      <c r="N21" s="339">
        <v>0</v>
      </c>
      <c r="O21" s="339">
        <v>0</v>
      </c>
      <c r="P21" s="339">
        <v>0</v>
      </c>
      <c r="Q21" s="339">
        <v>0</v>
      </c>
      <c r="R21" s="339">
        <v>0</v>
      </c>
      <c r="S21" s="339"/>
    </row>
    <row r="22" spans="1:21" s="814" customFormat="1" ht="18.75">
      <c r="A22" s="811">
        <v>11</v>
      </c>
      <c r="B22" s="821" t="s">
        <v>190</v>
      </c>
      <c r="C22" s="339">
        <f t="shared" si="4"/>
        <v>12800</v>
      </c>
      <c r="D22" s="339">
        <v>0</v>
      </c>
      <c r="E22" s="339">
        <v>0</v>
      </c>
      <c r="F22" s="339">
        <v>0</v>
      </c>
      <c r="G22" s="339">
        <v>0</v>
      </c>
      <c r="H22" s="339">
        <v>0</v>
      </c>
      <c r="I22" s="339">
        <v>0</v>
      </c>
      <c r="J22" s="339">
        <v>0</v>
      </c>
      <c r="K22" s="339">
        <v>0</v>
      </c>
      <c r="L22" s="339">
        <v>0</v>
      </c>
      <c r="M22" s="339">
        <f t="shared" si="3"/>
        <v>12800</v>
      </c>
      <c r="N22" s="339">
        <v>12800</v>
      </c>
      <c r="O22" s="339">
        <v>0</v>
      </c>
      <c r="P22" s="339">
        <v>0</v>
      </c>
      <c r="Q22" s="339">
        <v>0</v>
      </c>
      <c r="R22" s="339">
        <v>0</v>
      </c>
      <c r="S22" s="339"/>
    </row>
    <row r="23" spans="1:21" s="814" customFormat="1" ht="18.75">
      <c r="A23" s="811">
        <v>12</v>
      </c>
      <c r="B23" s="822" t="s">
        <v>857</v>
      </c>
      <c r="C23" s="339">
        <f t="shared" si="4"/>
        <v>4484</v>
      </c>
      <c r="D23" s="339">
        <v>0</v>
      </c>
      <c r="E23" s="339">
        <v>0</v>
      </c>
      <c r="F23" s="339">
        <v>0</v>
      </c>
      <c r="G23" s="339">
        <v>0</v>
      </c>
      <c r="H23" s="339">
        <v>0</v>
      </c>
      <c r="I23" s="339">
        <v>0</v>
      </c>
      <c r="J23" s="339">
        <v>0</v>
      </c>
      <c r="K23" s="339">
        <v>0</v>
      </c>
      <c r="L23" s="339">
        <v>0</v>
      </c>
      <c r="M23" s="339">
        <f>N23+O23</f>
        <v>4484</v>
      </c>
      <c r="N23" s="339">
        <v>4484</v>
      </c>
      <c r="O23" s="339">
        <v>0</v>
      </c>
      <c r="P23" s="339">
        <v>0</v>
      </c>
      <c r="Q23" s="339">
        <v>0</v>
      </c>
      <c r="R23" s="339">
        <v>0</v>
      </c>
      <c r="S23" s="339"/>
    </row>
    <row r="24" spans="1:21" s="814" customFormat="1" ht="18.75">
      <c r="A24" s="811">
        <v>13</v>
      </c>
      <c r="B24" s="822" t="s">
        <v>712</v>
      </c>
      <c r="C24" s="339">
        <f t="shared" si="4"/>
        <v>15000</v>
      </c>
      <c r="D24" s="339">
        <v>0</v>
      </c>
      <c r="E24" s="339">
        <v>0</v>
      </c>
      <c r="F24" s="339">
        <v>0</v>
      </c>
      <c r="G24" s="339">
        <v>0</v>
      </c>
      <c r="H24" s="339">
        <v>0</v>
      </c>
      <c r="I24" s="339">
        <v>0</v>
      </c>
      <c r="J24" s="339">
        <v>0</v>
      </c>
      <c r="K24" s="339">
        <v>0</v>
      </c>
      <c r="L24" s="339">
        <v>0</v>
      </c>
      <c r="M24" s="339">
        <f>N24+O24</f>
        <v>15000</v>
      </c>
      <c r="N24" s="339">
        <v>15000</v>
      </c>
      <c r="O24" s="339">
        <v>0</v>
      </c>
      <c r="P24" s="339">
        <v>0</v>
      </c>
      <c r="Q24" s="339">
        <v>0</v>
      </c>
      <c r="R24" s="339">
        <v>0</v>
      </c>
      <c r="S24" s="339"/>
    </row>
    <row r="25" spans="1:21" s="814" customFormat="1" ht="18.75">
      <c r="A25" s="811">
        <v>14</v>
      </c>
      <c r="B25" s="822" t="s">
        <v>855</v>
      </c>
      <c r="C25" s="339">
        <f t="shared" si="4"/>
        <v>12042</v>
      </c>
      <c r="D25" s="339">
        <v>0</v>
      </c>
      <c r="E25" s="339">
        <v>0</v>
      </c>
      <c r="F25" s="339">
        <v>0</v>
      </c>
      <c r="G25" s="339">
        <v>0</v>
      </c>
      <c r="H25" s="339">
        <v>0</v>
      </c>
      <c r="I25" s="339">
        <v>0</v>
      </c>
      <c r="J25" s="339">
        <v>0</v>
      </c>
      <c r="K25" s="339">
        <v>0</v>
      </c>
      <c r="L25" s="339">
        <v>0</v>
      </c>
      <c r="M25" s="339">
        <f t="shared" si="3"/>
        <v>12042</v>
      </c>
      <c r="N25" s="339">
        <v>12042</v>
      </c>
      <c r="O25" s="339">
        <v>0</v>
      </c>
      <c r="P25" s="339">
        <v>0</v>
      </c>
      <c r="Q25" s="339">
        <v>0</v>
      </c>
      <c r="R25" s="339">
        <v>0</v>
      </c>
      <c r="S25" s="339"/>
      <c r="T25" s="820"/>
    </row>
    <row r="26" spans="1:21" s="798" customFormat="1" ht="18.75">
      <c r="A26" s="823">
        <v>15</v>
      </c>
      <c r="B26" s="340" t="s">
        <v>1163</v>
      </c>
      <c r="C26" s="816">
        <f t="shared" si="4"/>
        <v>19000</v>
      </c>
      <c r="D26" s="816"/>
      <c r="E26" s="816"/>
      <c r="F26" s="816"/>
      <c r="G26" s="816"/>
      <c r="H26" s="816"/>
      <c r="I26" s="816"/>
      <c r="J26" s="816"/>
      <c r="K26" s="816"/>
      <c r="L26" s="816"/>
      <c r="M26" s="816"/>
      <c r="N26" s="816"/>
      <c r="O26" s="816"/>
      <c r="P26" s="816"/>
      <c r="Q26" s="816"/>
      <c r="R26" s="816">
        <v>19000</v>
      </c>
      <c r="S26" s="816"/>
    </row>
    <row r="27" spans="1:21" s="798" customFormat="1" ht="16.5" customHeight="1">
      <c r="A27" s="823">
        <v>16</v>
      </c>
      <c r="B27" s="340" t="s">
        <v>954</v>
      </c>
      <c r="C27" s="816">
        <f t="shared" si="4"/>
        <v>7800</v>
      </c>
      <c r="D27" s="816"/>
      <c r="E27" s="816"/>
      <c r="F27" s="816"/>
      <c r="G27" s="816"/>
      <c r="H27" s="816"/>
      <c r="I27" s="816"/>
      <c r="J27" s="816"/>
      <c r="K27" s="816"/>
      <c r="L27" s="816"/>
      <c r="M27" s="816"/>
      <c r="N27" s="816"/>
      <c r="O27" s="816"/>
      <c r="P27" s="816"/>
      <c r="Q27" s="816"/>
      <c r="R27" s="816">
        <v>7800</v>
      </c>
      <c r="S27" s="816"/>
    </row>
    <row r="28" spans="1:21" s="814" customFormat="1" ht="50.45" customHeight="1">
      <c r="A28" s="811">
        <v>17</v>
      </c>
      <c r="B28" s="821" t="s">
        <v>864</v>
      </c>
      <c r="C28" s="339">
        <f t="shared" si="4"/>
        <v>17794</v>
      </c>
      <c r="D28" s="339">
        <v>0</v>
      </c>
      <c r="E28" s="339">
        <v>0</v>
      </c>
      <c r="F28" s="339">
        <v>0</v>
      </c>
      <c r="G28" s="339">
        <v>0</v>
      </c>
      <c r="H28" s="339">
        <v>0</v>
      </c>
      <c r="I28" s="339">
        <v>0</v>
      </c>
      <c r="J28" s="339">
        <v>0</v>
      </c>
      <c r="K28" s="339">
        <v>0</v>
      </c>
      <c r="L28" s="339">
        <v>0</v>
      </c>
      <c r="M28" s="339">
        <f t="shared" si="3"/>
        <v>0</v>
      </c>
      <c r="N28" s="339">
        <v>0</v>
      </c>
      <c r="O28" s="339"/>
      <c r="P28" s="339">
        <v>0</v>
      </c>
      <c r="Q28" s="339">
        <v>0</v>
      </c>
      <c r="R28" s="339">
        <v>17794</v>
      </c>
      <c r="S28" s="339"/>
    </row>
    <row r="29" spans="1:21" s="810" customFormat="1" ht="18.75">
      <c r="A29" s="824" t="s">
        <v>11</v>
      </c>
      <c r="B29" s="825" t="s">
        <v>280</v>
      </c>
      <c r="C29" s="338">
        <f>SUM(D29:M29)+SUM(P29:S29)</f>
        <v>7400</v>
      </c>
      <c r="D29" s="338"/>
      <c r="E29" s="338"/>
      <c r="F29" s="338"/>
      <c r="G29" s="338"/>
      <c r="H29" s="338"/>
      <c r="I29" s="338"/>
      <c r="J29" s="338"/>
      <c r="K29" s="338"/>
      <c r="L29" s="338"/>
      <c r="M29" s="339">
        <f t="shared" si="3"/>
        <v>0</v>
      </c>
      <c r="N29" s="339">
        <v>0</v>
      </c>
      <c r="O29" s="338"/>
      <c r="P29" s="339">
        <v>0</v>
      </c>
      <c r="Q29" s="339">
        <v>0</v>
      </c>
      <c r="R29" s="339">
        <v>0</v>
      </c>
      <c r="S29" s="338">
        <v>7400</v>
      </c>
    </row>
    <row r="30" spans="1:21" s="810" customFormat="1" ht="33" customHeight="1">
      <c r="A30" s="826" t="s">
        <v>75</v>
      </c>
      <c r="B30" s="827" t="s">
        <v>281</v>
      </c>
      <c r="C30" s="341">
        <f>SUM(D30:M30)+SUM(P30:S30)</f>
        <v>1452887</v>
      </c>
      <c r="D30" s="341"/>
      <c r="E30" s="341"/>
      <c r="F30" s="341"/>
      <c r="G30" s="341"/>
      <c r="H30" s="341"/>
      <c r="I30" s="341"/>
      <c r="J30" s="341"/>
      <c r="K30" s="341"/>
      <c r="L30" s="341"/>
      <c r="M30" s="341"/>
      <c r="N30" s="341"/>
      <c r="O30" s="341"/>
      <c r="P30" s="341"/>
      <c r="Q30" s="341"/>
      <c r="R30" s="341"/>
      <c r="S30" s="341">
        <v>1452887</v>
      </c>
    </row>
    <row r="31" spans="1:21" ht="7.5" customHeight="1">
      <c r="A31" s="828"/>
      <c r="B31" s="828"/>
      <c r="C31" s="798"/>
      <c r="D31" s="798"/>
      <c r="E31" s="798"/>
      <c r="F31" s="798"/>
      <c r="G31" s="798"/>
      <c r="H31" s="798"/>
      <c r="I31" s="798"/>
      <c r="J31" s="798"/>
      <c r="K31" s="798"/>
      <c r="L31" s="798"/>
      <c r="M31" s="798"/>
      <c r="N31" s="798"/>
      <c r="O31" s="798"/>
      <c r="P31" s="798"/>
      <c r="Q31" s="798"/>
      <c r="R31" s="798"/>
    </row>
    <row r="32" spans="1:21" ht="25.5" customHeight="1">
      <c r="A32" s="828"/>
      <c r="B32" s="828"/>
      <c r="C32" s="798"/>
      <c r="D32" s="798"/>
      <c r="E32" s="798"/>
      <c r="F32" s="798"/>
      <c r="G32" s="798"/>
      <c r="H32" s="798"/>
      <c r="I32" s="798"/>
      <c r="J32" s="798"/>
      <c r="K32" s="798"/>
      <c r="L32" s="798"/>
      <c r="M32" s="798"/>
      <c r="N32" s="798"/>
      <c r="O32" s="798"/>
      <c r="P32" s="798"/>
      <c r="Q32" s="798"/>
      <c r="R32" s="798"/>
    </row>
    <row r="33" spans="1:18" ht="18.75">
      <c r="A33" s="828"/>
      <c r="B33" s="828"/>
      <c r="C33" s="798"/>
      <c r="D33" s="798"/>
      <c r="E33" s="798"/>
      <c r="F33" s="798"/>
      <c r="G33" s="798"/>
      <c r="H33" s="798"/>
      <c r="I33" s="798"/>
      <c r="J33" s="798"/>
      <c r="K33" s="798"/>
      <c r="L33" s="798"/>
      <c r="M33" s="798"/>
      <c r="N33" s="798"/>
      <c r="O33" s="798"/>
      <c r="P33" s="798"/>
      <c r="Q33" s="798"/>
      <c r="R33" s="798"/>
    </row>
    <row r="34" spans="1:18" ht="18.75">
      <c r="A34" s="798"/>
      <c r="B34" s="798"/>
      <c r="C34" s="798"/>
      <c r="D34" s="798"/>
      <c r="E34" s="798"/>
      <c r="F34" s="798"/>
      <c r="G34" s="798"/>
      <c r="H34" s="798"/>
      <c r="I34" s="798"/>
      <c r="J34" s="798"/>
      <c r="K34" s="798"/>
      <c r="L34" s="798"/>
      <c r="M34" s="798"/>
      <c r="N34" s="798"/>
      <c r="O34" s="798"/>
      <c r="P34" s="798"/>
      <c r="Q34" s="798"/>
      <c r="R34" s="798"/>
    </row>
    <row r="35" spans="1:18" ht="18.75">
      <c r="A35" s="798"/>
      <c r="B35" s="798"/>
      <c r="C35" s="798"/>
      <c r="D35" s="798"/>
      <c r="E35" s="798"/>
      <c r="F35" s="798"/>
      <c r="G35" s="798"/>
      <c r="H35" s="798"/>
      <c r="I35" s="798"/>
      <c r="J35" s="798"/>
      <c r="K35" s="798"/>
      <c r="L35" s="798"/>
      <c r="M35" s="798"/>
      <c r="N35" s="798"/>
      <c r="O35" s="798"/>
      <c r="P35" s="798"/>
      <c r="Q35" s="798"/>
      <c r="R35" s="798"/>
    </row>
    <row r="36" spans="1:18" ht="22.5" customHeight="1">
      <c r="A36" s="798"/>
      <c r="B36" s="798"/>
      <c r="C36" s="798"/>
      <c r="D36" s="798"/>
      <c r="E36" s="798"/>
      <c r="F36" s="798"/>
      <c r="G36" s="798"/>
      <c r="H36" s="798"/>
      <c r="I36" s="798"/>
      <c r="J36" s="798"/>
      <c r="K36" s="798"/>
      <c r="L36" s="798"/>
      <c r="M36" s="798"/>
      <c r="N36" s="798"/>
      <c r="O36" s="798"/>
      <c r="P36" s="798"/>
      <c r="Q36" s="798"/>
      <c r="R36" s="798"/>
    </row>
    <row r="37" spans="1:18" ht="18.75">
      <c r="A37" s="798"/>
      <c r="B37" s="798"/>
      <c r="C37" s="798"/>
      <c r="D37" s="798"/>
      <c r="E37" s="798"/>
      <c r="F37" s="798"/>
      <c r="G37" s="798"/>
      <c r="H37" s="798"/>
      <c r="I37" s="798"/>
      <c r="J37" s="798"/>
      <c r="K37" s="798"/>
      <c r="L37" s="798"/>
      <c r="M37" s="798"/>
      <c r="N37" s="798"/>
      <c r="O37" s="798"/>
      <c r="P37" s="798"/>
      <c r="Q37" s="798"/>
      <c r="R37" s="798"/>
    </row>
    <row r="38" spans="1:18" ht="18.75">
      <c r="A38" s="798"/>
      <c r="B38" s="798"/>
      <c r="C38" s="798"/>
      <c r="D38" s="798"/>
      <c r="E38" s="798"/>
      <c r="F38" s="798"/>
      <c r="G38" s="798"/>
      <c r="H38" s="798"/>
      <c r="I38" s="798"/>
      <c r="J38" s="798"/>
      <c r="K38" s="798"/>
      <c r="L38" s="798"/>
      <c r="M38" s="798"/>
      <c r="N38" s="798"/>
      <c r="O38" s="798"/>
      <c r="P38" s="798"/>
      <c r="Q38" s="798"/>
      <c r="R38" s="798"/>
    </row>
    <row r="39" spans="1:18" ht="18.75">
      <c r="A39" s="798"/>
      <c r="B39" s="798"/>
      <c r="C39" s="798"/>
      <c r="D39" s="798"/>
      <c r="E39" s="798"/>
      <c r="F39" s="798"/>
      <c r="G39" s="798"/>
      <c r="H39" s="798"/>
      <c r="I39" s="798"/>
      <c r="J39" s="798"/>
      <c r="K39" s="798"/>
      <c r="L39" s="798"/>
      <c r="M39" s="798"/>
      <c r="N39" s="798"/>
      <c r="O39" s="798"/>
      <c r="P39" s="798"/>
      <c r="Q39" s="798"/>
      <c r="R39" s="798"/>
    </row>
    <row r="40" spans="1:18" ht="18.75">
      <c r="A40" s="798"/>
      <c r="B40" s="798"/>
      <c r="C40" s="798"/>
      <c r="D40" s="798"/>
      <c r="E40" s="798"/>
      <c r="F40" s="798"/>
      <c r="G40" s="798"/>
      <c r="H40" s="798"/>
      <c r="I40" s="798"/>
      <c r="J40" s="798"/>
      <c r="K40" s="798"/>
      <c r="L40" s="798"/>
      <c r="M40" s="798"/>
      <c r="N40" s="798"/>
      <c r="O40" s="798"/>
      <c r="P40" s="798"/>
      <c r="Q40" s="798"/>
      <c r="R40" s="798"/>
    </row>
  </sheetData>
  <mergeCells count="22">
    <mergeCell ref="A2:R2"/>
    <mergeCell ref="A3:S3"/>
    <mergeCell ref="A5:A8"/>
    <mergeCell ref="B5:B8"/>
    <mergeCell ref="C5:C8"/>
    <mergeCell ref="D5:D8"/>
    <mergeCell ref="E5:E8"/>
    <mergeCell ref="F5:F8"/>
    <mergeCell ref="G5:G8"/>
    <mergeCell ref="H5:H8"/>
    <mergeCell ref="I5:I8"/>
    <mergeCell ref="J5:J8"/>
    <mergeCell ref="K5:K8"/>
    <mergeCell ref="L5:L8"/>
    <mergeCell ref="M5:M8"/>
    <mergeCell ref="P5:P8"/>
    <mergeCell ref="Q5:Q8"/>
    <mergeCell ref="R5:R8"/>
    <mergeCell ref="S5:S8"/>
    <mergeCell ref="N6:N8"/>
    <mergeCell ref="O6:O8"/>
    <mergeCell ref="N5:O5"/>
  </mergeCells>
  <printOptions horizontalCentered="1"/>
  <pageMargins left="0.2" right="0.23" top="0.56999999999999995" bottom="0.23" header="0.35" footer="0.17"/>
  <pageSetup paperSize="9" scale="65" fitToHeight="5" orientation="landscape" r:id="rId1"/>
  <headerFooter alignWithMargins="0">
    <oddHeader xml:space="preserve">&amp;C40
</oddHeader>
    <oddFooter xml:space="preserve">&amp;C&amp;".VnTime,Italic"&amp;8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113"/>
  <sheetViews>
    <sheetView zoomScale="70" zoomScaleNormal="70" workbookViewId="0">
      <pane xSplit="2" ySplit="9" topLeftCell="C106" activePane="bottomRight" state="frozen"/>
      <selection activeCell="D20" sqref="D20"/>
      <selection pane="topRight" activeCell="D20" sqref="D20"/>
      <selection pane="bottomLeft" activeCell="D20" sqref="D20"/>
      <selection pane="bottomRight" activeCell="B114" sqref="B114"/>
    </sheetView>
  </sheetViews>
  <sheetFormatPr defaultColWidth="9.140625" defaultRowHeight="15.75" outlineLevelRow="1"/>
  <cols>
    <col min="1" max="1" width="5.85546875" style="3" customWidth="1"/>
    <col min="2" max="2" width="37.85546875" style="115" customWidth="1"/>
    <col min="3" max="3" width="14" style="115" customWidth="1"/>
    <col min="4" max="19" width="14" style="3" customWidth="1"/>
    <col min="20" max="20" width="13.5703125" style="3" customWidth="1"/>
    <col min="21" max="21" width="10.5703125" style="3" customWidth="1"/>
    <col min="22" max="22" width="11.7109375" style="3" hidden="1" customWidth="1"/>
    <col min="23" max="16384" width="9.140625" style="3"/>
  </cols>
  <sheetData>
    <row r="1" spans="1:22" ht="21" customHeight="1">
      <c r="A1" s="1"/>
      <c r="B1" s="96"/>
      <c r="C1" s="96"/>
      <c r="D1" s="2"/>
      <c r="E1" s="2"/>
      <c r="F1" s="2"/>
      <c r="G1" s="2"/>
      <c r="H1" s="97"/>
      <c r="I1" s="97"/>
      <c r="J1" s="97"/>
      <c r="K1" s="97"/>
      <c r="L1" s="97"/>
      <c r="M1" s="2"/>
      <c r="N1" s="2"/>
      <c r="O1" s="2"/>
      <c r="P1" s="2"/>
      <c r="Q1" s="12"/>
      <c r="R1" s="12"/>
      <c r="S1" s="13" t="s">
        <v>330</v>
      </c>
    </row>
    <row r="2" spans="1:22" ht="18.75">
      <c r="A2" s="1191" t="s">
        <v>331</v>
      </c>
      <c r="B2" s="1192"/>
      <c r="C2" s="1192"/>
      <c r="D2" s="1192"/>
      <c r="E2" s="1192"/>
      <c r="F2" s="1192"/>
      <c r="G2" s="1192"/>
      <c r="H2" s="1192"/>
      <c r="I2" s="1192"/>
      <c r="J2" s="1192"/>
      <c r="K2" s="1192"/>
      <c r="L2" s="1192"/>
      <c r="M2" s="1192"/>
      <c r="N2" s="1192"/>
      <c r="O2" s="1192"/>
      <c r="P2" s="1192"/>
      <c r="Q2" s="1192"/>
      <c r="R2" s="1192"/>
      <c r="S2" s="1192"/>
    </row>
    <row r="3" spans="1:22" ht="18" customHeight="1">
      <c r="A3" s="1184" t="s">
        <v>1210</v>
      </c>
      <c r="B3" s="1184"/>
      <c r="C3" s="1184"/>
      <c r="D3" s="1184"/>
      <c r="E3" s="1184"/>
      <c r="F3" s="1184"/>
      <c r="G3" s="1184"/>
      <c r="H3" s="1184"/>
      <c r="I3" s="1184"/>
      <c r="J3" s="1184"/>
      <c r="K3" s="1184"/>
      <c r="L3" s="1184"/>
      <c r="M3" s="1184"/>
      <c r="N3" s="1184"/>
      <c r="O3" s="1184"/>
      <c r="P3" s="1184"/>
      <c r="Q3" s="1184"/>
      <c r="R3" s="1184"/>
      <c r="S3" s="1184"/>
    </row>
    <row r="4" spans="1:22" ht="19.5" customHeight="1">
      <c r="A4" s="4"/>
      <c r="B4" s="73"/>
      <c r="C4" s="73"/>
      <c r="D4" s="5"/>
      <c r="E4" s="5"/>
      <c r="F4" s="5"/>
      <c r="G4" s="5"/>
      <c r="H4" s="74"/>
      <c r="I4" s="74"/>
      <c r="J4" s="74"/>
      <c r="K4" s="74"/>
      <c r="L4" s="74"/>
      <c r="M4" s="74"/>
      <c r="N4" s="74"/>
      <c r="O4" s="74"/>
      <c r="P4" s="74"/>
      <c r="Q4" s="74"/>
      <c r="R4" s="74"/>
      <c r="S4" s="6" t="s">
        <v>2</v>
      </c>
    </row>
    <row r="5" spans="1:22" s="7" customFormat="1" ht="18.75">
      <c r="A5" s="1190" t="s">
        <v>3</v>
      </c>
      <c r="B5" s="1190" t="s">
        <v>88</v>
      </c>
      <c r="C5" s="1194" t="s">
        <v>89</v>
      </c>
      <c r="D5" s="1190" t="s">
        <v>63</v>
      </c>
      <c r="E5" s="1190" t="s">
        <v>263</v>
      </c>
      <c r="F5" s="1190" t="s">
        <v>264</v>
      </c>
      <c r="G5" s="1190" t="s">
        <v>50</v>
      </c>
      <c r="H5" s="1190" t="s">
        <v>51</v>
      </c>
      <c r="I5" s="1190" t="s">
        <v>52</v>
      </c>
      <c r="J5" s="1190" t="s">
        <v>53</v>
      </c>
      <c r="K5" s="1190" t="s">
        <v>54</v>
      </c>
      <c r="L5" s="1190" t="s">
        <v>55</v>
      </c>
      <c r="M5" s="1190" t="s">
        <v>56</v>
      </c>
      <c r="N5" s="1190" t="s">
        <v>57</v>
      </c>
      <c r="O5" s="1190" t="s">
        <v>40</v>
      </c>
      <c r="P5" s="1190"/>
      <c r="Q5" s="1190" t="s">
        <v>58</v>
      </c>
      <c r="R5" s="1190" t="s">
        <v>59</v>
      </c>
      <c r="S5" s="1190" t="s">
        <v>65</v>
      </c>
      <c r="T5" s="1190" t="s">
        <v>284</v>
      </c>
    </row>
    <row r="6" spans="1:22" s="7" customFormat="1" ht="65.25" customHeight="1">
      <c r="A6" s="1193"/>
      <c r="B6" s="1190"/>
      <c r="C6" s="1195"/>
      <c r="D6" s="1190"/>
      <c r="E6" s="1190"/>
      <c r="F6" s="1190"/>
      <c r="G6" s="1190"/>
      <c r="H6" s="1190"/>
      <c r="I6" s="1190"/>
      <c r="J6" s="1190"/>
      <c r="K6" s="1190"/>
      <c r="L6" s="1190"/>
      <c r="M6" s="1190"/>
      <c r="N6" s="1190"/>
      <c r="O6" s="1190" t="s">
        <v>266</v>
      </c>
      <c r="P6" s="1190" t="s">
        <v>267</v>
      </c>
      <c r="Q6" s="1190"/>
      <c r="R6" s="1190"/>
      <c r="S6" s="1190"/>
      <c r="T6" s="1190"/>
    </row>
    <row r="7" spans="1:22" s="7" customFormat="1" ht="63.75" customHeight="1">
      <c r="A7" s="1193"/>
      <c r="B7" s="1190"/>
      <c r="C7" s="1195"/>
      <c r="D7" s="1190"/>
      <c r="E7" s="1190"/>
      <c r="F7" s="1190"/>
      <c r="G7" s="1190"/>
      <c r="H7" s="1190"/>
      <c r="I7" s="1190"/>
      <c r="J7" s="1190"/>
      <c r="K7" s="1190"/>
      <c r="L7" s="1190"/>
      <c r="M7" s="1190"/>
      <c r="N7" s="1190"/>
      <c r="O7" s="1190"/>
      <c r="P7" s="1190"/>
      <c r="Q7" s="1190"/>
      <c r="R7" s="1190"/>
      <c r="S7" s="1190"/>
      <c r="T7" s="1190"/>
    </row>
    <row r="8" spans="1:22" s="7" customFormat="1" ht="65.25" customHeight="1">
      <c r="A8" s="1193"/>
      <c r="B8" s="1190"/>
      <c r="C8" s="1196"/>
      <c r="D8" s="1190"/>
      <c r="E8" s="1190"/>
      <c r="F8" s="1190"/>
      <c r="G8" s="1190"/>
      <c r="H8" s="1190"/>
      <c r="I8" s="1190"/>
      <c r="J8" s="1190"/>
      <c r="K8" s="1190"/>
      <c r="L8" s="1190"/>
      <c r="M8" s="1190"/>
      <c r="N8" s="1190"/>
      <c r="O8" s="1190"/>
      <c r="P8" s="1190"/>
      <c r="Q8" s="1190"/>
      <c r="R8" s="1190"/>
      <c r="S8" s="1190"/>
      <c r="T8" s="1190"/>
    </row>
    <row r="9" spans="1:22" s="9" customFormat="1" ht="17.25" customHeight="1">
      <c r="A9" s="8" t="s">
        <v>10</v>
      </c>
      <c r="B9" s="98" t="s">
        <v>11</v>
      </c>
      <c r="C9" s="98">
        <v>1</v>
      </c>
      <c r="D9" s="8">
        <v>2</v>
      </c>
      <c r="E9" s="99">
        <f t="shared" ref="E9:S9" si="0">D9+1</f>
        <v>3</v>
      </c>
      <c r="F9" s="99">
        <f t="shared" si="0"/>
        <v>4</v>
      </c>
      <c r="G9" s="99">
        <f t="shared" si="0"/>
        <v>5</v>
      </c>
      <c r="H9" s="99">
        <f t="shared" si="0"/>
        <v>6</v>
      </c>
      <c r="I9" s="99">
        <f t="shared" si="0"/>
        <v>7</v>
      </c>
      <c r="J9" s="99">
        <f t="shared" si="0"/>
        <v>8</v>
      </c>
      <c r="K9" s="99">
        <f t="shared" si="0"/>
        <v>9</v>
      </c>
      <c r="L9" s="99">
        <f t="shared" si="0"/>
        <v>10</v>
      </c>
      <c r="M9" s="99">
        <f t="shared" si="0"/>
        <v>11</v>
      </c>
      <c r="N9" s="99">
        <f t="shared" si="0"/>
        <v>12</v>
      </c>
      <c r="O9" s="99">
        <f t="shared" si="0"/>
        <v>13</v>
      </c>
      <c r="P9" s="99">
        <f t="shared" si="0"/>
        <v>14</v>
      </c>
      <c r="Q9" s="99">
        <f t="shared" si="0"/>
        <v>15</v>
      </c>
      <c r="R9" s="99">
        <f t="shared" si="0"/>
        <v>16</v>
      </c>
      <c r="S9" s="99">
        <f t="shared" si="0"/>
        <v>17</v>
      </c>
      <c r="T9" s="99"/>
    </row>
    <row r="10" spans="1:22" s="5" customFormat="1" ht="18" customHeight="1">
      <c r="A10" s="100"/>
      <c r="B10" s="101" t="s">
        <v>102</v>
      </c>
      <c r="C10" s="14">
        <f>C11+C108</f>
        <v>2287095</v>
      </c>
      <c r="D10" s="14">
        <f>D11+D108</f>
        <v>1993571</v>
      </c>
      <c r="E10" s="14">
        <f t="shared" ref="E10:T10" si="1">E11+E108</f>
        <v>572560</v>
      </c>
      <c r="F10" s="14">
        <f t="shared" si="1"/>
        <v>14578</v>
      </c>
      <c r="G10" s="14">
        <f t="shared" si="1"/>
        <v>72669</v>
      </c>
      <c r="H10" s="14">
        <f t="shared" si="1"/>
        <v>19383</v>
      </c>
      <c r="I10" s="14">
        <f t="shared" si="1"/>
        <v>398069</v>
      </c>
      <c r="J10" s="14">
        <f t="shared" si="1"/>
        <v>56622</v>
      </c>
      <c r="K10" s="14">
        <f t="shared" si="1"/>
        <v>25206</v>
      </c>
      <c r="L10" s="14">
        <f t="shared" si="1"/>
        <v>18874</v>
      </c>
      <c r="M10" s="14">
        <f t="shared" si="1"/>
        <v>13855</v>
      </c>
      <c r="N10" s="14">
        <f t="shared" si="1"/>
        <v>212630</v>
      </c>
      <c r="O10" s="14">
        <f t="shared" si="1"/>
        <v>28808.999999999996</v>
      </c>
      <c r="P10" s="14">
        <f t="shared" si="1"/>
        <v>83216</v>
      </c>
      <c r="Q10" s="14">
        <f t="shared" si="1"/>
        <v>509641</v>
      </c>
      <c r="R10" s="14">
        <f t="shared" si="1"/>
        <v>43942</v>
      </c>
      <c r="S10" s="14">
        <f t="shared" si="1"/>
        <v>35542</v>
      </c>
      <c r="T10" s="14">
        <f t="shared" si="1"/>
        <v>293524</v>
      </c>
    </row>
    <row r="11" spans="1:22" s="12" customFormat="1" ht="18.75">
      <c r="A11" s="10" t="s">
        <v>10</v>
      </c>
      <c r="B11" s="102" t="s">
        <v>287</v>
      </c>
      <c r="C11" s="14">
        <f>C12+C30+C49+C95+C96+C97+C107</f>
        <v>1993571</v>
      </c>
      <c r="D11" s="14">
        <f t="shared" ref="D11:S11" si="2">D12+D30+D49+D95+D96+D97+D107</f>
        <v>1993571</v>
      </c>
      <c r="E11" s="14">
        <f t="shared" si="2"/>
        <v>572560</v>
      </c>
      <c r="F11" s="14">
        <f t="shared" si="2"/>
        <v>14578</v>
      </c>
      <c r="G11" s="14">
        <f t="shared" si="2"/>
        <v>72669</v>
      </c>
      <c r="H11" s="14">
        <f t="shared" si="2"/>
        <v>19383</v>
      </c>
      <c r="I11" s="14">
        <f t="shared" si="2"/>
        <v>398069</v>
      </c>
      <c r="J11" s="14">
        <f t="shared" si="2"/>
        <v>56622</v>
      </c>
      <c r="K11" s="14">
        <f t="shared" si="2"/>
        <v>25206</v>
      </c>
      <c r="L11" s="14">
        <f t="shared" si="2"/>
        <v>18874</v>
      </c>
      <c r="M11" s="14">
        <f t="shared" si="2"/>
        <v>13855</v>
      </c>
      <c r="N11" s="14">
        <f t="shared" si="2"/>
        <v>212630</v>
      </c>
      <c r="O11" s="14">
        <f t="shared" si="2"/>
        <v>28808.999999999996</v>
      </c>
      <c r="P11" s="14">
        <f t="shared" si="2"/>
        <v>83216</v>
      </c>
      <c r="Q11" s="14">
        <f t="shared" si="2"/>
        <v>509641</v>
      </c>
      <c r="R11" s="14">
        <f t="shared" si="2"/>
        <v>43942</v>
      </c>
      <c r="S11" s="14">
        <f t="shared" si="2"/>
        <v>35542</v>
      </c>
      <c r="T11" s="14"/>
      <c r="V11" s="103">
        <f>D11-E11-F11-G11-H11-I11-J11-K11-L11-M11-N11-Q11-R11-S11</f>
        <v>0</v>
      </c>
    </row>
    <row r="12" spans="1:22" s="12" customFormat="1" ht="18.75">
      <c r="A12" s="10">
        <v>1</v>
      </c>
      <c r="B12" s="102" t="s">
        <v>107</v>
      </c>
      <c r="C12" s="14">
        <f>SUM(C13:C29)</f>
        <v>1574710.7745070094</v>
      </c>
      <c r="D12" s="14">
        <f>SUM(D13:D29)</f>
        <v>1574710.7745070094</v>
      </c>
      <c r="E12" s="14">
        <f t="shared" ref="E12:S12" si="3">SUM(E13:E29)</f>
        <v>525112.77450700942</v>
      </c>
      <c r="F12" s="14">
        <f t="shared" si="3"/>
        <v>13847</v>
      </c>
      <c r="G12" s="14">
        <f t="shared" si="3"/>
        <v>0</v>
      </c>
      <c r="H12" s="14">
        <f t="shared" si="3"/>
        <v>0</v>
      </c>
      <c r="I12" s="14">
        <f t="shared" si="3"/>
        <v>398069</v>
      </c>
      <c r="J12" s="14">
        <f t="shared" si="3"/>
        <v>56622</v>
      </c>
      <c r="K12" s="14">
        <f t="shared" si="3"/>
        <v>0</v>
      </c>
      <c r="L12" s="14">
        <f t="shared" si="3"/>
        <v>18874</v>
      </c>
      <c r="M12" s="14">
        <f t="shared" si="3"/>
        <v>13855</v>
      </c>
      <c r="N12" s="14">
        <f t="shared" si="3"/>
        <v>172988</v>
      </c>
      <c r="O12" s="14">
        <f t="shared" si="3"/>
        <v>28808.999999999996</v>
      </c>
      <c r="P12" s="14">
        <f t="shared" si="3"/>
        <v>83216</v>
      </c>
      <c r="Q12" s="14">
        <f t="shared" si="3"/>
        <v>347150</v>
      </c>
      <c r="R12" s="14">
        <f t="shared" si="3"/>
        <v>28193</v>
      </c>
      <c r="S12" s="14">
        <f t="shared" si="3"/>
        <v>0</v>
      </c>
      <c r="T12" s="14"/>
      <c r="V12" s="103">
        <f t="shared" ref="V12:V75" si="4">D12-E12-F12-G12-H12-I12-J12-K12-L12-M12-N12-Q12-R12-S12</f>
        <v>0</v>
      </c>
    </row>
    <row r="13" spans="1:22" s="5" customFormat="1" ht="18.75">
      <c r="A13" s="11" t="s">
        <v>288</v>
      </c>
      <c r="B13" s="104" t="s">
        <v>109</v>
      </c>
      <c r="C13" s="105">
        <f>D13+T13</f>
        <v>187643</v>
      </c>
      <c r="D13" s="15">
        <f>SUM(E13:N13)+Q13+R13+S13</f>
        <v>187643</v>
      </c>
      <c r="E13" s="15"/>
      <c r="F13" s="15"/>
      <c r="G13" s="15"/>
      <c r="H13" s="15"/>
      <c r="I13" s="15"/>
      <c r="J13" s="15"/>
      <c r="K13" s="15"/>
      <c r="L13" s="15"/>
      <c r="M13" s="15"/>
      <c r="N13" s="15">
        <v>83216</v>
      </c>
      <c r="O13" s="15"/>
      <c r="P13" s="15">
        <f>N13</f>
        <v>83216</v>
      </c>
      <c r="Q13" s="15">
        <v>104427</v>
      </c>
      <c r="R13" s="15"/>
      <c r="S13" s="15"/>
      <c r="T13" s="15"/>
      <c r="V13" s="103">
        <f t="shared" si="4"/>
        <v>0</v>
      </c>
    </row>
    <row r="14" spans="1:22" s="5" customFormat="1" ht="18.75">
      <c r="A14" s="11" t="s">
        <v>289</v>
      </c>
      <c r="B14" s="104" t="s">
        <v>112</v>
      </c>
      <c r="C14" s="105">
        <f t="shared" ref="C14:C77" si="5">D14+T14</f>
        <v>37211</v>
      </c>
      <c r="D14" s="15">
        <f t="shared" ref="D14:D78" si="6">SUM(E14:N14)+Q14+R14+S14</f>
        <v>37211</v>
      </c>
      <c r="E14" s="15"/>
      <c r="F14" s="15"/>
      <c r="G14" s="15"/>
      <c r="H14" s="15"/>
      <c r="I14" s="15"/>
      <c r="J14" s="15"/>
      <c r="K14" s="15"/>
      <c r="L14" s="15"/>
      <c r="M14" s="15"/>
      <c r="N14" s="15">
        <v>28808.999999999996</v>
      </c>
      <c r="O14" s="15">
        <f>N14</f>
        <v>28808.999999999996</v>
      </c>
      <c r="P14" s="15"/>
      <c r="Q14" s="15">
        <v>8402</v>
      </c>
      <c r="R14" s="15"/>
      <c r="S14" s="15"/>
      <c r="T14" s="15"/>
      <c r="V14" s="103">
        <f t="shared" si="4"/>
        <v>3.637978807091713E-12</v>
      </c>
    </row>
    <row r="15" spans="1:22" s="5" customFormat="1" ht="18.75">
      <c r="A15" s="11" t="s">
        <v>290</v>
      </c>
      <c r="B15" s="104" t="s">
        <v>114</v>
      </c>
      <c r="C15" s="105">
        <f t="shared" si="5"/>
        <v>583</v>
      </c>
      <c r="D15" s="15">
        <f t="shared" ref="D15" si="7">SUM(E15:N15)+Q15+R15+S15</f>
        <v>583</v>
      </c>
      <c r="E15" s="15"/>
      <c r="F15" s="15"/>
      <c r="G15" s="15"/>
      <c r="H15" s="15"/>
      <c r="I15" s="15"/>
      <c r="J15" s="15"/>
      <c r="K15" s="15"/>
      <c r="L15" s="15"/>
      <c r="M15" s="15"/>
      <c r="N15" s="15"/>
      <c r="O15" s="15"/>
      <c r="P15" s="15"/>
      <c r="Q15" s="15">
        <v>583</v>
      </c>
      <c r="R15" s="15"/>
      <c r="S15" s="15"/>
      <c r="T15" s="15"/>
      <c r="V15" s="103">
        <f t="shared" si="4"/>
        <v>0</v>
      </c>
    </row>
    <row r="16" spans="1:22" s="5" customFormat="1" ht="18.75">
      <c r="A16" s="11" t="s">
        <v>291</v>
      </c>
      <c r="B16" s="104" t="s">
        <v>116</v>
      </c>
      <c r="C16" s="105">
        <f t="shared" si="5"/>
        <v>12537</v>
      </c>
      <c r="D16" s="15">
        <f t="shared" si="6"/>
        <v>12537</v>
      </c>
      <c r="E16" s="15"/>
      <c r="F16" s="15"/>
      <c r="G16" s="15"/>
      <c r="H16" s="15"/>
      <c r="I16" s="15"/>
      <c r="J16" s="15"/>
      <c r="K16" s="15"/>
      <c r="L16" s="15"/>
      <c r="M16" s="15"/>
      <c r="N16" s="15">
        <v>4540</v>
      </c>
      <c r="O16" s="15"/>
      <c r="P16" s="15"/>
      <c r="Q16" s="15">
        <v>7997</v>
      </c>
      <c r="R16" s="15"/>
      <c r="S16" s="15"/>
      <c r="T16" s="15"/>
      <c r="V16" s="103">
        <f t="shared" si="4"/>
        <v>0</v>
      </c>
    </row>
    <row r="17" spans="1:22" s="5" customFormat="1" ht="18.75">
      <c r="A17" s="11" t="s">
        <v>292</v>
      </c>
      <c r="B17" s="104" t="s">
        <v>118</v>
      </c>
      <c r="C17" s="105">
        <f t="shared" si="5"/>
        <v>31656</v>
      </c>
      <c r="D17" s="15">
        <f t="shared" si="6"/>
        <v>31656</v>
      </c>
      <c r="E17" s="15"/>
      <c r="F17" s="15"/>
      <c r="G17" s="15"/>
      <c r="H17" s="15"/>
      <c r="I17" s="15"/>
      <c r="J17" s="15"/>
      <c r="K17" s="15"/>
      <c r="L17" s="15"/>
      <c r="M17" s="15">
        <v>12687</v>
      </c>
      <c r="N17" s="15">
        <v>8116</v>
      </c>
      <c r="O17" s="15"/>
      <c r="P17" s="15"/>
      <c r="Q17" s="15">
        <v>10853</v>
      </c>
      <c r="R17" s="15"/>
      <c r="S17" s="15"/>
      <c r="T17" s="15"/>
      <c r="V17" s="103">
        <f t="shared" si="4"/>
        <v>0</v>
      </c>
    </row>
    <row r="18" spans="1:22" s="5" customFormat="1" ht="18.75">
      <c r="A18" s="11" t="s">
        <v>293</v>
      </c>
      <c r="B18" s="104" t="s">
        <v>120</v>
      </c>
      <c r="C18" s="105">
        <f t="shared" si="5"/>
        <v>12913</v>
      </c>
      <c r="D18" s="15">
        <f t="shared" si="6"/>
        <v>12913</v>
      </c>
      <c r="E18" s="15"/>
      <c r="F18" s="15"/>
      <c r="G18" s="15"/>
      <c r="H18" s="15"/>
      <c r="I18" s="15"/>
      <c r="J18" s="15"/>
      <c r="K18" s="15"/>
      <c r="L18" s="15"/>
      <c r="M18" s="15"/>
      <c r="N18" s="15">
        <v>3584</v>
      </c>
      <c r="O18" s="15"/>
      <c r="P18" s="15"/>
      <c r="Q18" s="15">
        <v>9329</v>
      </c>
      <c r="R18" s="15"/>
      <c r="S18" s="15"/>
      <c r="T18" s="15"/>
      <c r="V18" s="103">
        <f t="shared" si="4"/>
        <v>0</v>
      </c>
    </row>
    <row r="19" spans="1:22" s="5" customFormat="1" ht="18.75">
      <c r="A19" s="11" t="s">
        <v>294</v>
      </c>
      <c r="B19" s="104" t="s">
        <v>122</v>
      </c>
      <c r="C19" s="105">
        <f t="shared" si="5"/>
        <v>535245.77450700942</v>
      </c>
      <c r="D19" s="15">
        <f t="shared" si="6"/>
        <v>535245.77450700942</v>
      </c>
      <c r="E19" s="15">
        <v>524318.77450700942</v>
      </c>
      <c r="F19" s="15"/>
      <c r="G19" s="15"/>
      <c r="H19" s="15"/>
      <c r="I19" s="15"/>
      <c r="J19" s="15"/>
      <c r="K19" s="15"/>
      <c r="L19" s="15"/>
      <c r="M19" s="15"/>
      <c r="N19" s="15"/>
      <c r="O19" s="15"/>
      <c r="P19" s="15"/>
      <c r="Q19" s="15">
        <v>10927</v>
      </c>
      <c r="R19" s="15"/>
      <c r="S19" s="15"/>
      <c r="T19" s="15"/>
      <c r="V19" s="103">
        <f t="shared" si="4"/>
        <v>0</v>
      </c>
    </row>
    <row r="20" spans="1:22" s="5" customFormat="1" ht="18.75">
      <c r="A20" s="11" t="s">
        <v>295</v>
      </c>
      <c r="B20" s="104" t="s">
        <v>124</v>
      </c>
      <c r="C20" s="105">
        <f t="shared" si="5"/>
        <v>120340</v>
      </c>
      <c r="D20" s="15">
        <f t="shared" si="6"/>
        <v>120340</v>
      </c>
      <c r="E20" s="15"/>
      <c r="F20" s="15"/>
      <c r="G20" s="15"/>
      <c r="H20" s="15"/>
      <c r="I20" s="15">
        <v>105697</v>
      </c>
      <c r="J20" s="15"/>
      <c r="K20" s="15"/>
      <c r="L20" s="15"/>
      <c r="M20" s="15"/>
      <c r="N20" s="15"/>
      <c r="O20" s="15"/>
      <c r="P20" s="15"/>
      <c r="Q20" s="15">
        <v>14643</v>
      </c>
      <c r="R20" s="15"/>
      <c r="S20" s="15"/>
      <c r="T20" s="15"/>
      <c r="V20" s="103">
        <f t="shared" si="4"/>
        <v>0</v>
      </c>
    </row>
    <row r="21" spans="1:22" s="5" customFormat="1" ht="37.5">
      <c r="A21" s="11" t="s">
        <v>296</v>
      </c>
      <c r="B21" s="104" t="s">
        <v>126</v>
      </c>
      <c r="C21" s="105">
        <f t="shared" si="5"/>
        <v>64121</v>
      </c>
      <c r="D21" s="15">
        <f t="shared" si="6"/>
        <v>64121</v>
      </c>
      <c r="E21" s="15"/>
      <c r="F21" s="15"/>
      <c r="G21" s="15"/>
      <c r="H21" s="15"/>
      <c r="I21" s="15"/>
      <c r="J21" s="15">
        <v>34525</v>
      </c>
      <c r="K21" s="15"/>
      <c r="L21" s="15">
        <v>18874</v>
      </c>
      <c r="M21" s="15"/>
      <c r="N21" s="15"/>
      <c r="O21" s="15"/>
      <c r="P21" s="15"/>
      <c r="Q21" s="15">
        <v>10722</v>
      </c>
      <c r="R21" s="15"/>
      <c r="S21" s="15"/>
      <c r="T21" s="15"/>
      <c r="V21" s="103">
        <f t="shared" si="4"/>
        <v>0</v>
      </c>
    </row>
    <row r="22" spans="1:22" s="5" customFormat="1" ht="37.5">
      <c r="A22" s="11" t="s">
        <v>297</v>
      </c>
      <c r="B22" s="104" t="s">
        <v>128</v>
      </c>
      <c r="C22" s="105">
        <f t="shared" si="5"/>
        <v>322696</v>
      </c>
      <c r="D22" s="15">
        <f t="shared" si="6"/>
        <v>322696</v>
      </c>
      <c r="E22" s="15">
        <v>794</v>
      </c>
      <c r="F22" s="15"/>
      <c r="G22" s="15"/>
      <c r="H22" s="15"/>
      <c r="I22" s="15">
        <f>288271+3+1</f>
        <v>288275</v>
      </c>
      <c r="J22" s="15"/>
      <c r="K22" s="15"/>
      <c r="L22" s="15"/>
      <c r="M22" s="15"/>
      <c r="N22" s="15"/>
      <c r="O22" s="15"/>
      <c r="P22" s="15"/>
      <c r="Q22" s="15">
        <v>10151</v>
      </c>
      <c r="R22" s="15">
        <v>23476</v>
      </c>
      <c r="S22" s="15"/>
      <c r="T22" s="15"/>
      <c r="V22" s="103">
        <f t="shared" si="4"/>
        <v>0</v>
      </c>
    </row>
    <row r="23" spans="1:22" s="5" customFormat="1" ht="18.75">
      <c r="A23" s="11" t="s">
        <v>298</v>
      </c>
      <c r="B23" s="104" t="s">
        <v>130</v>
      </c>
      <c r="C23" s="105">
        <f t="shared" si="5"/>
        <v>13614</v>
      </c>
      <c r="D23" s="15">
        <f t="shared" si="6"/>
        <v>13614</v>
      </c>
      <c r="E23" s="15"/>
      <c r="F23" s="15"/>
      <c r="G23" s="15"/>
      <c r="H23" s="15"/>
      <c r="I23" s="15"/>
      <c r="J23" s="15"/>
      <c r="K23" s="15"/>
      <c r="L23" s="15"/>
      <c r="M23" s="15"/>
      <c r="N23" s="15"/>
      <c r="O23" s="15"/>
      <c r="P23" s="15"/>
      <c r="Q23" s="15">
        <v>8897</v>
      </c>
      <c r="R23" s="15">
        <v>4717</v>
      </c>
      <c r="S23" s="15"/>
      <c r="T23" s="15"/>
      <c r="V23" s="103">
        <f t="shared" si="4"/>
        <v>0</v>
      </c>
    </row>
    <row r="24" spans="1:22" s="5" customFormat="1" ht="18.75">
      <c r="A24" s="11" t="s">
        <v>299</v>
      </c>
      <c r="B24" s="104" t="s">
        <v>132</v>
      </c>
      <c r="C24" s="105">
        <f t="shared" si="5"/>
        <v>113823</v>
      </c>
      <c r="D24" s="15">
        <f t="shared" si="6"/>
        <v>113823</v>
      </c>
      <c r="E24" s="15"/>
      <c r="F24" s="15"/>
      <c r="G24" s="15"/>
      <c r="H24" s="15"/>
      <c r="I24" s="15">
        <v>4097</v>
      </c>
      <c r="J24" s="15">
        <v>18145</v>
      </c>
      <c r="K24" s="15"/>
      <c r="L24" s="15"/>
      <c r="M24" s="15"/>
      <c r="N24" s="15">
        <v>700</v>
      </c>
      <c r="O24" s="15"/>
      <c r="P24" s="15"/>
      <c r="Q24" s="15">
        <v>90881</v>
      </c>
      <c r="R24" s="15"/>
      <c r="S24" s="15"/>
      <c r="T24" s="15"/>
      <c r="V24" s="103">
        <f t="shared" si="4"/>
        <v>0</v>
      </c>
    </row>
    <row r="25" spans="1:22" s="5" customFormat="1" ht="18.75">
      <c r="A25" s="11" t="s">
        <v>300</v>
      </c>
      <c r="B25" s="104" t="s">
        <v>134</v>
      </c>
      <c r="C25" s="105">
        <f t="shared" si="5"/>
        <v>21533</v>
      </c>
      <c r="D25" s="15">
        <f t="shared" si="6"/>
        <v>21533</v>
      </c>
      <c r="E25" s="15"/>
      <c r="F25" s="15">
        <v>13847</v>
      </c>
      <c r="G25" s="15"/>
      <c r="H25" s="15"/>
      <c r="I25" s="15"/>
      <c r="J25" s="15"/>
      <c r="K25" s="15"/>
      <c r="L25" s="15"/>
      <c r="M25" s="15"/>
      <c r="N25" s="15"/>
      <c r="O25" s="15"/>
      <c r="P25" s="15"/>
      <c r="Q25" s="15">
        <v>7686</v>
      </c>
      <c r="R25" s="15"/>
      <c r="S25" s="15"/>
      <c r="T25" s="15"/>
      <c r="V25" s="103">
        <f t="shared" si="4"/>
        <v>0</v>
      </c>
    </row>
    <row r="26" spans="1:22" s="5" customFormat="1" ht="18.75">
      <c r="A26" s="11" t="s">
        <v>301</v>
      </c>
      <c r="B26" s="104" t="s">
        <v>136</v>
      </c>
      <c r="C26" s="105">
        <f t="shared" si="5"/>
        <v>12411</v>
      </c>
      <c r="D26" s="15">
        <f t="shared" si="6"/>
        <v>12411</v>
      </c>
      <c r="E26" s="15"/>
      <c r="F26" s="15"/>
      <c r="G26" s="15"/>
      <c r="H26" s="15"/>
      <c r="I26" s="15"/>
      <c r="J26" s="15">
        <v>3952</v>
      </c>
      <c r="K26" s="15"/>
      <c r="L26" s="15"/>
      <c r="M26" s="15"/>
      <c r="N26" s="15">
        <v>385</v>
      </c>
      <c r="O26" s="15"/>
      <c r="P26" s="15"/>
      <c r="Q26" s="15">
        <v>8074</v>
      </c>
      <c r="R26" s="15"/>
      <c r="S26" s="15"/>
      <c r="T26" s="15"/>
      <c r="V26" s="103">
        <f t="shared" si="4"/>
        <v>0</v>
      </c>
    </row>
    <row r="27" spans="1:22" s="5" customFormat="1" ht="18.75">
      <c r="A27" s="11" t="s">
        <v>302</v>
      </c>
      <c r="B27" s="104" t="s">
        <v>138</v>
      </c>
      <c r="C27" s="105">
        <f t="shared" si="5"/>
        <v>24628</v>
      </c>
      <c r="D27" s="15">
        <f t="shared" si="6"/>
        <v>24628</v>
      </c>
      <c r="E27" s="15"/>
      <c r="F27" s="15"/>
      <c r="G27" s="15"/>
      <c r="H27" s="15"/>
      <c r="I27" s="15"/>
      <c r="J27" s="15"/>
      <c r="K27" s="15"/>
      <c r="L27" s="15"/>
      <c r="M27" s="15"/>
      <c r="N27" s="15">
        <v>19565</v>
      </c>
      <c r="O27" s="15"/>
      <c r="P27" s="15"/>
      <c r="Q27" s="15">
        <v>5063</v>
      </c>
      <c r="R27" s="15"/>
      <c r="S27" s="15"/>
      <c r="T27" s="15"/>
      <c r="V27" s="103">
        <f t="shared" si="4"/>
        <v>0</v>
      </c>
    </row>
    <row r="28" spans="1:22" s="5" customFormat="1" ht="18.75">
      <c r="A28" s="11" t="s">
        <v>303</v>
      </c>
      <c r="B28" s="104" t="s">
        <v>140</v>
      </c>
      <c r="C28" s="105">
        <f t="shared" si="5"/>
        <v>31154</v>
      </c>
      <c r="D28" s="15">
        <f t="shared" si="6"/>
        <v>31154</v>
      </c>
      <c r="E28" s="15"/>
      <c r="F28" s="15"/>
      <c r="G28" s="15"/>
      <c r="H28" s="15"/>
      <c r="I28" s="15"/>
      <c r="J28" s="15"/>
      <c r="K28" s="15"/>
      <c r="L28" s="15"/>
      <c r="M28" s="15">
        <v>1168</v>
      </c>
      <c r="N28" s="15">
        <v>20881</v>
      </c>
      <c r="O28" s="15"/>
      <c r="P28" s="15"/>
      <c r="Q28" s="15">
        <v>9105</v>
      </c>
      <c r="R28" s="15"/>
      <c r="S28" s="15"/>
      <c r="T28" s="15"/>
      <c r="V28" s="103">
        <f t="shared" si="4"/>
        <v>0</v>
      </c>
    </row>
    <row r="29" spans="1:22" s="5" customFormat="1" ht="18.75">
      <c r="A29" s="11" t="s">
        <v>304</v>
      </c>
      <c r="B29" s="104" t="s">
        <v>141</v>
      </c>
      <c r="C29" s="105">
        <f t="shared" si="5"/>
        <v>32602</v>
      </c>
      <c r="D29" s="15">
        <f t="shared" si="6"/>
        <v>32602</v>
      </c>
      <c r="E29" s="15"/>
      <c r="F29" s="15"/>
      <c r="G29" s="15"/>
      <c r="H29" s="15"/>
      <c r="I29" s="15"/>
      <c r="J29" s="15"/>
      <c r="K29" s="15"/>
      <c r="L29" s="15"/>
      <c r="M29" s="15"/>
      <c r="N29" s="15">
        <v>3192</v>
      </c>
      <c r="O29" s="15"/>
      <c r="P29" s="15"/>
      <c r="Q29" s="15">
        <v>29410</v>
      </c>
      <c r="R29" s="15"/>
      <c r="S29" s="15"/>
      <c r="T29" s="15"/>
      <c r="V29" s="103">
        <f t="shared" si="4"/>
        <v>0</v>
      </c>
    </row>
    <row r="30" spans="1:22" s="12" customFormat="1" ht="18.75">
      <c r="A30" s="10" t="s">
        <v>25</v>
      </c>
      <c r="B30" s="102" t="s">
        <v>142</v>
      </c>
      <c r="C30" s="14">
        <f t="shared" ref="C30:S30" si="8">SUM(C31:C48)</f>
        <v>351979.22549299058</v>
      </c>
      <c r="D30" s="14">
        <f t="shared" si="8"/>
        <v>351979.22549299058</v>
      </c>
      <c r="E30" s="14">
        <f t="shared" si="8"/>
        <v>67458.22549299059</v>
      </c>
      <c r="F30" s="14">
        <f t="shared" si="8"/>
        <v>0</v>
      </c>
      <c r="G30" s="14">
        <f t="shared" si="8"/>
        <v>72669</v>
      </c>
      <c r="H30" s="14">
        <f t="shared" si="8"/>
        <v>19383</v>
      </c>
      <c r="I30" s="14">
        <f t="shared" si="8"/>
        <v>0</v>
      </c>
      <c r="J30" s="14">
        <f t="shared" si="8"/>
        <v>0</v>
      </c>
      <c r="K30" s="14">
        <f t="shared" si="8"/>
        <v>25206</v>
      </c>
      <c r="L30" s="14">
        <f t="shared" si="8"/>
        <v>0</v>
      </c>
      <c r="M30" s="14">
        <f t="shared" si="8"/>
        <v>0</v>
      </c>
      <c r="N30" s="14">
        <f t="shared" si="8"/>
        <v>39642</v>
      </c>
      <c r="O30" s="14">
        <f t="shared" si="8"/>
        <v>0</v>
      </c>
      <c r="P30" s="14">
        <f t="shared" si="8"/>
        <v>0</v>
      </c>
      <c r="Q30" s="14">
        <f t="shared" si="8"/>
        <v>127499</v>
      </c>
      <c r="R30" s="14">
        <f t="shared" si="8"/>
        <v>122</v>
      </c>
      <c r="S30" s="14">
        <f t="shared" si="8"/>
        <v>0</v>
      </c>
      <c r="T30" s="14"/>
      <c r="V30" s="103">
        <f t="shared" si="4"/>
        <v>0</v>
      </c>
    </row>
    <row r="31" spans="1:22" s="5" customFormat="1" ht="37.5">
      <c r="A31" s="11" t="s">
        <v>288</v>
      </c>
      <c r="B31" s="104" t="s">
        <v>144</v>
      </c>
      <c r="C31" s="105">
        <f t="shared" si="5"/>
        <v>15458</v>
      </c>
      <c r="D31" s="15">
        <f t="shared" si="6"/>
        <v>15458</v>
      </c>
      <c r="E31" s="15"/>
      <c r="F31" s="15"/>
      <c r="G31" s="15"/>
      <c r="H31" s="15"/>
      <c r="I31" s="15"/>
      <c r="J31" s="15"/>
      <c r="K31" s="15"/>
      <c r="L31" s="15"/>
      <c r="M31" s="15"/>
      <c r="N31" s="15">
        <v>15458</v>
      </c>
      <c r="O31" s="15"/>
      <c r="P31" s="15"/>
      <c r="Q31" s="15"/>
      <c r="R31" s="15"/>
      <c r="S31" s="15"/>
      <c r="T31" s="15"/>
      <c r="V31" s="103">
        <f t="shared" si="4"/>
        <v>0</v>
      </c>
    </row>
    <row r="32" spans="1:22" s="5" customFormat="1" ht="18.75">
      <c r="A32" s="11" t="s">
        <v>289</v>
      </c>
      <c r="B32" s="104" t="s">
        <v>146</v>
      </c>
      <c r="C32" s="105">
        <f t="shared" si="5"/>
        <v>53490.601971098615</v>
      </c>
      <c r="D32" s="15">
        <f t="shared" si="6"/>
        <v>53490.601971098615</v>
      </c>
      <c r="E32" s="15">
        <v>53490.601971098615</v>
      </c>
      <c r="F32" s="15"/>
      <c r="G32" s="15"/>
      <c r="H32" s="15"/>
      <c r="I32" s="15"/>
      <c r="J32" s="15"/>
      <c r="K32" s="15"/>
      <c r="L32" s="15"/>
      <c r="M32" s="15"/>
      <c r="N32" s="15"/>
      <c r="O32" s="15"/>
      <c r="P32" s="15"/>
      <c r="Q32" s="15"/>
      <c r="R32" s="15"/>
      <c r="S32" s="15"/>
      <c r="T32" s="15"/>
      <c r="V32" s="103">
        <f t="shared" si="4"/>
        <v>0</v>
      </c>
    </row>
    <row r="33" spans="1:22" s="5" customFormat="1" ht="18.75">
      <c r="A33" s="11" t="s">
        <v>290</v>
      </c>
      <c r="B33" s="104" t="s">
        <v>148</v>
      </c>
      <c r="C33" s="105">
        <f t="shared" si="5"/>
        <v>13967.623521891979</v>
      </c>
      <c r="D33" s="15">
        <f t="shared" si="6"/>
        <v>13967.623521891979</v>
      </c>
      <c r="E33" s="15">
        <v>13967.623521891979</v>
      </c>
      <c r="F33" s="15"/>
      <c r="G33" s="15"/>
      <c r="H33" s="15"/>
      <c r="I33" s="15"/>
      <c r="J33" s="15"/>
      <c r="K33" s="15"/>
      <c r="L33" s="15"/>
      <c r="M33" s="15"/>
      <c r="N33" s="15"/>
      <c r="O33" s="15"/>
      <c r="P33" s="15"/>
      <c r="Q33" s="15"/>
      <c r="R33" s="15"/>
      <c r="S33" s="15"/>
      <c r="T33" s="15"/>
      <c r="V33" s="103">
        <f t="shared" si="4"/>
        <v>0</v>
      </c>
    </row>
    <row r="34" spans="1:22" s="5" customFormat="1" ht="18.75">
      <c r="A34" s="11" t="s">
        <v>291</v>
      </c>
      <c r="B34" s="104" t="s">
        <v>150</v>
      </c>
      <c r="C34" s="105">
        <f t="shared" si="5"/>
        <v>25206</v>
      </c>
      <c r="D34" s="15">
        <f t="shared" si="6"/>
        <v>25206</v>
      </c>
      <c r="E34" s="15"/>
      <c r="F34" s="15"/>
      <c r="G34" s="15"/>
      <c r="H34" s="15"/>
      <c r="I34" s="15"/>
      <c r="J34" s="15"/>
      <c r="K34" s="15">
        <v>25206</v>
      </c>
      <c r="L34" s="15"/>
      <c r="M34" s="15"/>
      <c r="N34" s="15"/>
      <c r="O34" s="15"/>
      <c r="P34" s="15"/>
      <c r="Q34" s="15"/>
      <c r="R34" s="15"/>
      <c r="S34" s="15"/>
      <c r="T34" s="15"/>
      <c r="V34" s="103">
        <f t="shared" si="4"/>
        <v>0</v>
      </c>
    </row>
    <row r="35" spans="1:22" s="5" customFormat="1" ht="18.75">
      <c r="A35" s="11" t="s">
        <v>292</v>
      </c>
      <c r="B35" s="104" t="s">
        <v>152</v>
      </c>
      <c r="C35" s="105">
        <f t="shared" si="5"/>
        <v>7486</v>
      </c>
      <c r="D35" s="15">
        <f t="shared" si="6"/>
        <v>7486</v>
      </c>
      <c r="E35" s="15"/>
      <c r="F35" s="15"/>
      <c r="G35" s="15"/>
      <c r="H35" s="15"/>
      <c r="I35" s="15"/>
      <c r="J35" s="15"/>
      <c r="K35" s="15"/>
      <c r="L35" s="15"/>
      <c r="M35" s="15"/>
      <c r="N35" s="15">
        <v>2452</v>
      </c>
      <c r="O35" s="15"/>
      <c r="P35" s="15"/>
      <c r="Q35" s="15">
        <f>5037-3</f>
        <v>5034</v>
      </c>
      <c r="R35" s="15"/>
      <c r="S35" s="15"/>
      <c r="T35" s="15"/>
      <c r="V35" s="103">
        <f t="shared" si="4"/>
        <v>0</v>
      </c>
    </row>
    <row r="36" spans="1:22" s="5" customFormat="1" ht="18.75">
      <c r="A36" s="11" t="s">
        <v>293</v>
      </c>
      <c r="B36" s="104" t="s">
        <v>154</v>
      </c>
      <c r="C36" s="105">
        <f t="shared" si="5"/>
        <v>11153</v>
      </c>
      <c r="D36" s="15">
        <f t="shared" si="6"/>
        <v>11153</v>
      </c>
      <c r="E36" s="15"/>
      <c r="F36" s="15"/>
      <c r="G36" s="15"/>
      <c r="H36" s="15"/>
      <c r="I36" s="15"/>
      <c r="J36" s="15"/>
      <c r="K36" s="15"/>
      <c r="L36" s="15"/>
      <c r="M36" s="15"/>
      <c r="N36" s="15">
        <v>1717</v>
      </c>
      <c r="O36" s="15"/>
      <c r="P36" s="15"/>
      <c r="Q36" s="15">
        <v>9436</v>
      </c>
      <c r="R36" s="15"/>
      <c r="S36" s="15"/>
      <c r="T36" s="15"/>
      <c r="V36" s="103">
        <f t="shared" si="4"/>
        <v>0</v>
      </c>
    </row>
    <row r="37" spans="1:22" s="5" customFormat="1" ht="18.75">
      <c r="A37" s="11" t="s">
        <v>294</v>
      </c>
      <c r="B37" s="104" t="s">
        <v>156</v>
      </c>
      <c r="C37" s="105">
        <f t="shared" si="5"/>
        <v>10667</v>
      </c>
      <c r="D37" s="15">
        <f t="shared" si="6"/>
        <v>10667</v>
      </c>
      <c r="E37" s="15"/>
      <c r="F37" s="15"/>
      <c r="G37" s="15"/>
      <c r="H37" s="15"/>
      <c r="I37" s="15"/>
      <c r="J37" s="15"/>
      <c r="K37" s="15"/>
      <c r="L37" s="15"/>
      <c r="M37" s="15"/>
      <c r="N37" s="15"/>
      <c r="O37" s="15"/>
      <c r="P37" s="15"/>
      <c r="Q37" s="15">
        <v>10667</v>
      </c>
      <c r="R37" s="15"/>
      <c r="S37" s="15"/>
      <c r="T37" s="15"/>
      <c r="V37" s="103">
        <f t="shared" si="4"/>
        <v>0</v>
      </c>
    </row>
    <row r="38" spans="1:22" s="5" customFormat="1" ht="37.5">
      <c r="A38" s="11" t="s">
        <v>295</v>
      </c>
      <c r="B38" s="104" t="s">
        <v>158</v>
      </c>
      <c r="C38" s="105">
        <f t="shared" si="5"/>
        <v>20652</v>
      </c>
      <c r="D38" s="15">
        <f t="shared" si="6"/>
        <v>20652</v>
      </c>
      <c r="E38" s="15"/>
      <c r="F38" s="15"/>
      <c r="G38" s="15"/>
      <c r="H38" s="15"/>
      <c r="I38" s="15"/>
      <c r="J38" s="15"/>
      <c r="K38" s="15"/>
      <c r="L38" s="15"/>
      <c r="M38" s="15"/>
      <c r="N38" s="15"/>
      <c r="O38" s="15"/>
      <c r="P38" s="15"/>
      <c r="Q38" s="15">
        <v>20652</v>
      </c>
      <c r="R38" s="15"/>
      <c r="S38" s="15"/>
      <c r="T38" s="15"/>
      <c r="V38" s="103">
        <f t="shared" si="4"/>
        <v>0</v>
      </c>
    </row>
    <row r="39" spans="1:22" s="5" customFormat="1" ht="18.75">
      <c r="A39" s="11" t="s">
        <v>296</v>
      </c>
      <c r="B39" s="104" t="s">
        <v>160</v>
      </c>
      <c r="C39" s="105">
        <f t="shared" si="5"/>
        <v>17981</v>
      </c>
      <c r="D39" s="15">
        <f t="shared" si="6"/>
        <v>17981</v>
      </c>
      <c r="E39" s="15"/>
      <c r="F39" s="15"/>
      <c r="G39" s="15"/>
      <c r="H39" s="15"/>
      <c r="I39" s="15"/>
      <c r="J39" s="15"/>
      <c r="K39" s="15"/>
      <c r="L39" s="15"/>
      <c r="M39" s="15"/>
      <c r="N39" s="15">
        <v>4586</v>
      </c>
      <c r="O39" s="15"/>
      <c r="P39" s="15"/>
      <c r="Q39" s="15">
        <v>13395</v>
      </c>
      <c r="R39" s="15"/>
      <c r="S39" s="15"/>
      <c r="T39" s="15"/>
      <c r="V39" s="103">
        <f t="shared" si="4"/>
        <v>0</v>
      </c>
    </row>
    <row r="40" spans="1:22" s="5" customFormat="1" ht="18.75">
      <c r="A40" s="11" t="s">
        <v>297</v>
      </c>
      <c r="B40" s="104" t="s">
        <v>162</v>
      </c>
      <c r="C40" s="105">
        <f t="shared" si="5"/>
        <v>14007</v>
      </c>
      <c r="D40" s="15">
        <f t="shared" si="6"/>
        <v>14007</v>
      </c>
      <c r="E40" s="15"/>
      <c r="F40" s="15"/>
      <c r="G40" s="15"/>
      <c r="H40" s="15"/>
      <c r="I40" s="15"/>
      <c r="J40" s="15"/>
      <c r="K40" s="15"/>
      <c r="L40" s="15"/>
      <c r="M40" s="15"/>
      <c r="N40" s="15"/>
      <c r="O40" s="15"/>
      <c r="P40" s="15"/>
      <c r="Q40" s="15">
        <v>14007</v>
      </c>
      <c r="R40" s="15"/>
      <c r="S40" s="15"/>
      <c r="T40" s="15"/>
      <c r="V40" s="103">
        <f t="shared" si="4"/>
        <v>0</v>
      </c>
    </row>
    <row r="41" spans="1:22" s="5" customFormat="1" ht="18.75">
      <c r="A41" s="11" t="s">
        <v>298</v>
      </c>
      <c r="B41" s="104" t="s">
        <v>164</v>
      </c>
      <c r="C41" s="105">
        <f t="shared" si="5"/>
        <v>41198</v>
      </c>
      <c r="D41" s="15">
        <f t="shared" si="6"/>
        <v>41198</v>
      </c>
      <c r="E41" s="15"/>
      <c r="F41" s="15"/>
      <c r="G41" s="15"/>
      <c r="H41" s="15"/>
      <c r="I41" s="15"/>
      <c r="J41" s="15"/>
      <c r="K41" s="15"/>
      <c r="L41" s="15"/>
      <c r="M41" s="15"/>
      <c r="N41" s="15">
        <v>15091</v>
      </c>
      <c r="O41" s="15"/>
      <c r="P41" s="15"/>
      <c r="Q41" s="15">
        <v>26107</v>
      </c>
      <c r="R41" s="15"/>
      <c r="S41" s="15"/>
      <c r="T41" s="15"/>
      <c r="V41" s="103">
        <f t="shared" si="4"/>
        <v>0</v>
      </c>
    </row>
    <row r="42" spans="1:22" s="5" customFormat="1" ht="18.75">
      <c r="A42" s="11" t="s">
        <v>299</v>
      </c>
      <c r="B42" s="104" t="s">
        <v>166</v>
      </c>
      <c r="C42" s="105">
        <f t="shared" si="5"/>
        <v>3345</v>
      </c>
      <c r="D42" s="15">
        <f t="shared" si="6"/>
        <v>3345</v>
      </c>
      <c r="E42" s="15"/>
      <c r="F42" s="15"/>
      <c r="G42" s="15"/>
      <c r="H42" s="15"/>
      <c r="I42" s="15"/>
      <c r="J42" s="15"/>
      <c r="K42" s="15"/>
      <c r="L42" s="15"/>
      <c r="M42" s="15"/>
      <c r="N42" s="15"/>
      <c r="O42" s="15"/>
      <c r="P42" s="15"/>
      <c r="Q42" s="15">
        <v>3345</v>
      </c>
      <c r="R42" s="15"/>
      <c r="S42" s="15"/>
      <c r="T42" s="15"/>
      <c r="V42" s="103">
        <f t="shared" si="4"/>
        <v>0</v>
      </c>
    </row>
    <row r="43" spans="1:22" s="5" customFormat="1" ht="18.75">
      <c r="A43" s="11" t="s">
        <v>300</v>
      </c>
      <c r="B43" s="104" t="s">
        <v>168</v>
      </c>
      <c r="C43" s="105">
        <f t="shared" si="5"/>
        <v>6516</v>
      </c>
      <c r="D43" s="15">
        <f t="shared" si="6"/>
        <v>6516</v>
      </c>
      <c r="E43" s="15"/>
      <c r="F43" s="15"/>
      <c r="G43" s="15"/>
      <c r="H43" s="15"/>
      <c r="I43" s="15"/>
      <c r="J43" s="15"/>
      <c r="K43" s="15"/>
      <c r="L43" s="15"/>
      <c r="M43" s="15"/>
      <c r="N43" s="15">
        <v>338</v>
      </c>
      <c r="O43" s="15"/>
      <c r="P43" s="15"/>
      <c r="Q43" s="15">
        <v>6178</v>
      </c>
      <c r="R43" s="15"/>
      <c r="S43" s="15"/>
      <c r="T43" s="15"/>
      <c r="V43" s="103">
        <f t="shared" si="4"/>
        <v>0</v>
      </c>
    </row>
    <row r="44" spans="1:22" s="5" customFormat="1" ht="18.75">
      <c r="A44" s="11" t="s">
        <v>301</v>
      </c>
      <c r="B44" s="104" t="s">
        <v>170</v>
      </c>
      <c r="C44" s="105">
        <f t="shared" si="5"/>
        <v>10111</v>
      </c>
      <c r="D44" s="15">
        <f t="shared" si="6"/>
        <v>10111</v>
      </c>
      <c r="E44" s="15"/>
      <c r="F44" s="15"/>
      <c r="G44" s="15"/>
      <c r="H44" s="15"/>
      <c r="I44" s="15"/>
      <c r="J44" s="15"/>
      <c r="K44" s="15"/>
      <c r="L44" s="15"/>
      <c r="M44" s="15"/>
      <c r="N44" s="15"/>
      <c r="O44" s="15"/>
      <c r="P44" s="15"/>
      <c r="Q44" s="15">
        <v>10111</v>
      </c>
      <c r="R44" s="15"/>
      <c r="S44" s="15"/>
      <c r="T44" s="15"/>
      <c r="V44" s="103">
        <f t="shared" si="4"/>
        <v>0</v>
      </c>
    </row>
    <row r="45" spans="1:22" s="5" customFormat="1" ht="18.75">
      <c r="A45" s="11" t="s">
        <v>302</v>
      </c>
      <c r="B45" s="104" t="s">
        <v>172</v>
      </c>
      <c r="C45" s="105">
        <f t="shared" si="5"/>
        <v>8689</v>
      </c>
      <c r="D45" s="15">
        <f t="shared" si="6"/>
        <v>8689</v>
      </c>
      <c r="E45" s="15"/>
      <c r="F45" s="15"/>
      <c r="G45" s="15"/>
      <c r="H45" s="15"/>
      <c r="I45" s="15"/>
      <c r="J45" s="15"/>
      <c r="K45" s="15"/>
      <c r="L45" s="15"/>
      <c r="M45" s="15"/>
      <c r="N45" s="15"/>
      <c r="O45" s="15"/>
      <c r="P45" s="15"/>
      <c r="Q45" s="15">
        <v>8567</v>
      </c>
      <c r="R45" s="15">
        <v>122</v>
      </c>
      <c r="S45" s="15"/>
      <c r="T45" s="15"/>
      <c r="V45" s="103">
        <f t="shared" si="4"/>
        <v>0</v>
      </c>
    </row>
    <row r="46" spans="1:22" s="5" customFormat="1" ht="18.75">
      <c r="A46" s="11" t="s">
        <v>303</v>
      </c>
      <c r="B46" s="104" t="s">
        <v>174</v>
      </c>
      <c r="C46" s="105">
        <f t="shared" si="5"/>
        <v>19383</v>
      </c>
      <c r="D46" s="15">
        <f t="shared" si="6"/>
        <v>19383</v>
      </c>
      <c r="E46" s="15"/>
      <c r="F46" s="15"/>
      <c r="G46" s="15"/>
      <c r="H46" s="15">
        <v>19383</v>
      </c>
      <c r="I46" s="15"/>
      <c r="J46" s="15"/>
      <c r="K46" s="15"/>
      <c r="L46" s="15"/>
      <c r="M46" s="15"/>
      <c r="N46" s="15"/>
      <c r="O46" s="15"/>
      <c r="P46" s="15"/>
      <c r="Q46" s="15"/>
      <c r="R46" s="15"/>
      <c r="S46" s="15"/>
      <c r="T46" s="15"/>
      <c r="V46" s="103">
        <f t="shared" si="4"/>
        <v>0</v>
      </c>
    </row>
    <row r="47" spans="1:22" s="5" customFormat="1" ht="18.75">
      <c r="A47" s="11" t="s">
        <v>304</v>
      </c>
      <c r="B47" s="104" t="s">
        <v>176</v>
      </c>
      <c r="C47" s="105">
        <f t="shared" si="5"/>
        <v>40696</v>
      </c>
      <c r="D47" s="15">
        <f t="shared" si="6"/>
        <v>40696</v>
      </c>
      <c r="E47" s="15"/>
      <c r="F47" s="15"/>
      <c r="G47" s="15">
        <v>40696</v>
      </c>
      <c r="H47" s="15"/>
      <c r="I47" s="15"/>
      <c r="J47" s="15"/>
      <c r="K47" s="15"/>
      <c r="L47" s="15"/>
      <c r="M47" s="15"/>
      <c r="N47" s="15"/>
      <c r="O47" s="15"/>
      <c r="P47" s="15"/>
      <c r="Q47" s="15"/>
      <c r="R47" s="15"/>
      <c r="S47" s="15"/>
      <c r="T47" s="15"/>
      <c r="V47" s="103">
        <f t="shared" si="4"/>
        <v>0</v>
      </c>
    </row>
    <row r="48" spans="1:22" s="5" customFormat="1" ht="18.75">
      <c r="A48" s="11" t="s">
        <v>305</v>
      </c>
      <c r="B48" s="104" t="s">
        <v>178</v>
      </c>
      <c r="C48" s="105">
        <f t="shared" si="5"/>
        <v>31973</v>
      </c>
      <c r="D48" s="15">
        <f t="shared" si="6"/>
        <v>31973</v>
      </c>
      <c r="E48" s="15"/>
      <c r="F48" s="15"/>
      <c r="G48" s="15">
        <v>31973</v>
      </c>
      <c r="H48" s="15"/>
      <c r="I48" s="15"/>
      <c r="J48" s="15"/>
      <c r="K48" s="15"/>
      <c r="L48" s="15"/>
      <c r="M48" s="15"/>
      <c r="N48" s="15"/>
      <c r="O48" s="15"/>
      <c r="P48" s="15"/>
      <c r="Q48" s="15"/>
      <c r="R48" s="15"/>
      <c r="S48" s="15"/>
      <c r="T48" s="15"/>
      <c r="V48" s="103">
        <f t="shared" si="4"/>
        <v>0</v>
      </c>
    </row>
    <row r="49" spans="1:22" s="12" customFormat="1" ht="37.5">
      <c r="A49" s="10" t="s">
        <v>32</v>
      </c>
      <c r="B49" s="102" t="s">
        <v>195</v>
      </c>
      <c r="C49" s="14">
        <f>SUM(C50:C66)+C68+C69+C70+C67+C84</f>
        <v>32775</v>
      </c>
      <c r="D49" s="14">
        <f t="shared" ref="D49:S49" si="9">SUM(D50:D66)+D68+D69+D70+D67+D84</f>
        <v>32775</v>
      </c>
      <c r="E49" s="14">
        <f t="shared" si="9"/>
        <v>0</v>
      </c>
      <c r="F49" s="14">
        <f t="shared" si="9"/>
        <v>710</v>
      </c>
      <c r="G49" s="14">
        <f t="shared" si="9"/>
        <v>0</v>
      </c>
      <c r="H49" s="14">
        <f t="shared" si="9"/>
        <v>0</v>
      </c>
      <c r="I49" s="14">
        <f t="shared" si="9"/>
        <v>0</v>
      </c>
      <c r="J49" s="14">
        <f t="shared" si="9"/>
        <v>0</v>
      </c>
      <c r="K49" s="14">
        <f t="shared" si="9"/>
        <v>0</v>
      </c>
      <c r="L49" s="14">
        <f t="shared" si="9"/>
        <v>0</v>
      </c>
      <c r="M49" s="14">
        <f t="shared" si="9"/>
        <v>0</v>
      </c>
      <c r="N49" s="14">
        <f t="shared" si="9"/>
        <v>0</v>
      </c>
      <c r="O49" s="14">
        <f t="shared" si="9"/>
        <v>0</v>
      </c>
      <c r="P49" s="14">
        <f t="shared" si="9"/>
        <v>0</v>
      </c>
      <c r="Q49" s="14">
        <f t="shared" si="9"/>
        <v>16041</v>
      </c>
      <c r="R49" s="14">
        <f t="shared" si="9"/>
        <v>15627</v>
      </c>
      <c r="S49" s="14">
        <f t="shared" si="9"/>
        <v>397</v>
      </c>
      <c r="T49" s="14"/>
      <c r="V49" s="103">
        <f t="shared" si="4"/>
        <v>0</v>
      </c>
    </row>
    <row r="50" spans="1:22" s="5" customFormat="1" ht="18.75">
      <c r="A50" s="11" t="s">
        <v>288</v>
      </c>
      <c r="B50" s="104" t="s">
        <v>197</v>
      </c>
      <c r="C50" s="105">
        <f t="shared" si="5"/>
        <v>739</v>
      </c>
      <c r="D50" s="15">
        <f t="shared" si="6"/>
        <v>739</v>
      </c>
      <c r="E50" s="15"/>
      <c r="F50" s="15"/>
      <c r="G50" s="15"/>
      <c r="H50" s="15"/>
      <c r="I50" s="15"/>
      <c r="J50" s="15"/>
      <c r="K50" s="15"/>
      <c r="L50" s="15"/>
      <c r="M50" s="15"/>
      <c r="N50" s="15"/>
      <c r="O50" s="15"/>
      <c r="P50" s="15"/>
      <c r="Q50" s="15">
        <v>739</v>
      </c>
      <c r="R50" s="15"/>
      <c r="S50" s="15"/>
      <c r="T50" s="15"/>
      <c r="V50" s="103">
        <f t="shared" si="4"/>
        <v>0</v>
      </c>
    </row>
    <row r="51" spans="1:22" s="5" customFormat="1" ht="37.5">
      <c r="A51" s="11" t="s">
        <v>289</v>
      </c>
      <c r="B51" s="104" t="s">
        <v>199</v>
      </c>
      <c r="C51" s="105">
        <f t="shared" si="5"/>
        <v>801</v>
      </c>
      <c r="D51" s="15">
        <f t="shared" si="6"/>
        <v>801</v>
      </c>
      <c r="E51" s="15"/>
      <c r="F51" s="15"/>
      <c r="G51" s="15"/>
      <c r="H51" s="15"/>
      <c r="I51" s="15"/>
      <c r="J51" s="15"/>
      <c r="K51" s="15"/>
      <c r="L51" s="15"/>
      <c r="M51" s="15"/>
      <c r="N51" s="15"/>
      <c r="O51" s="15"/>
      <c r="P51" s="15"/>
      <c r="Q51" s="15">
        <v>801</v>
      </c>
      <c r="R51" s="15"/>
      <c r="S51" s="15"/>
      <c r="T51" s="15"/>
      <c r="V51" s="103">
        <f t="shared" si="4"/>
        <v>0</v>
      </c>
    </row>
    <row r="52" spans="1:22" s="5" customFormat="1" ht="37.5">
      <c r="A52" s="11" t="s">
        <v>290</v>
      </c>
      <c r="B52" s="104" t="s">
        <v>201</v>
      </c>
      <c r="C52" s="105">
        <f t="shared" si="5"/>
        <v>611</v>
      </c>
      <c r="D52" s="15">
        <f t="shared" si="6"/>
        <v>611</v>
      </c>
      <c r="E52" s="15"/>
      <c r="F52" s="15"/>
      <c r="G52" s="15"/>
      <c r="H52" s="15"/>
      <c r="I52" s="15"/>
      <c r="J52" s="15"/>
      <c r="K52" s="15"/>
      <c r="L52" s="15"/>
      <c r="M52" s="15"/>
      <c r="N52" s="15"/>
      <c r="O52" s="15"/>
      <c r="P52" s="15"/>
      <c r="Q52" s="15">
        <v>611</v>
      </c>
      <c r="R52" s="15"/>
      <c r="S52" s="15"/>
      <c r="T52" s="15"/>
      <c r="V52" s="103">
        <f t="shared" si="4"/>
        <v>0</v>
      </c>
    </row>
    <row r="53" spans="1:22" s="5" customFormat="1" ht="18.75">
      <c r="A53" s="11" t="s">
        <v>291</v>
      </c>
      <c r="B53" s="104" t="s">
        <v>203</v>
      </c>
      <c r="C53" s="105">
        <f t="shared" si="5"/>
        <v>508</v>
      </c>
      <c r="D53" s="15">
        <f t="shared" si="6"/>
        <v>508</v>
      </c>
      <c r="E53" s="15"/>
      <c r="F53" s="15"/>
      <c r="G53" s="15"/>
      <c r="H53" s="15"/>
      <c r="I53" s="15"/>
      <c r="J53" s="15"/>
      <c r="K53" s="15"/>
      <c r="L53" s="15"/>
      <c r="M53" s="15"/>
      <c r="N53" s="15"/>
      <c r="O53" s="15"/>
      <c r="P53" s="15"/>
      <c r="Q53" s="15">
        <v>508</v>
      </c>
      <c r="R53" s="15"/>
      <c r="S53" s="15"/>
      <c r="T53" s="15"/>
      <c r="V53" s="103">
        <f t="shared" si="4"/>
        <v>0</v>
      </c>
    </row>
    <row r="54" spans="1:22" s="5" customFormat="1" ht="18.75">
      <c r="A54" s="11" t="s">
        <v>292</v>
      </c>
      <c r="B54" s="104" t="s">
        <v>205</v>
      </c>
      <c r="C54" s="105">
        <f t="shared" si="5"/>
        <v>90</v>
      </c>
      <c r="D54" s="15">
        <f t="shared" si="6"/>
        <v>90</v>
      </c>
      <c r="E54" s="15"/>
      <c r="F54" s="15"/>
      <c r="G54" s="15"/>
      <c r="H54" s="15"/>
      <c r="I54" s="15"/>
      <c r="J54" s="15"/>
      <c r="K54" s="15"/>
      <c r="L54" s="15"/>
      <c r="M54" s="15"/>
      <c r="N54" s="15"/>
      <c r="O54" s="15"/>
      <c r="P54" s="15"/>
      <c r="Q54" s="15">
        <v>90</v>
      </c>
      <c r="R54" s="15"/>
      <c r="S54" s="15"/>
      <c r="T54" s="15"/>
      <c r="V54" s="103">
        <f t="shared" si="4"/>
        <v>0</v>
      </c>
    </row>
    <row r="55" spans="1:22" s="5" customFormat="1" ht="18.75">
      <c r="A55" s="11" t="s">
        <v>293</v>
      </c>
      <c r="B55" s="104" t="s">
        <v>207</v>
      </c>
      <c r="C55" s="105">
        <f t="shared" si="5"/>
        <v>1621</v>
      </c>
      <c r="D55" s="15">
        <f t="shared" si="6"/>
        <v>1621</v>
      </c>
      <c r="E55" s="15"/>
      <c r="F55" s="15"/>
      <c r="G55" s="15"/>
      <c r="H55" s="15"/>
      <c r="I55" s="15"/>
      <c r="J55" s="15"/>
      <c r="K55" s="15"/>
      <c r="L55" s="15"/>
      <c r="M55" s="15"/>
      <c r="N55" s="15"/>
      <c r="O55" s="15"/>
      <c r="P55" s="15"/>
      <c r="Q55" s="15">
        <v>1621</v>
      </c>
      <c r="R55" s="15"/>
      <c r="S55" s="15"/>
      <c r="T55" s="15"/>
      <c r="V55" s="103">
        <f t="shared" si="4"/>
        <v>0</v>
      </c>
    </row>
    <row r="56" spans="1:22" s="5" customFormat="1" ht="18.75">
      <c r="A56" s="11" t="s">
        <v>294</v>
      </c>
      <c r="B56" s="104" t="s">
        <v>209</v>
      </c>
      <c r="C56" s="105">
        <f t="shared" si="5"/>
        <v>2815</v>
      </c>
      <c r="D56" s="15">
        <f t="shared" si="6"/>
        <v>2815</v>
      </c>
      <c r="E56" s="15"/>
      <c r="F56" s="15">
        <v>710</v>
      </c>
      <c r="G56" s="15"/>
      <c r="H56" s="15"/>
      <c r="I56" s="15"/>
      <c r="J56" s="15"/>
      <c r="K56" s="15"/>
      <c r="L56" s="15"/>
      <c r="M56" s="15"/>
      <c r="N56" s="15"/>
      <c r="O56" s="15"/>
      <c r="P56" s="15"/>
      <c r="Q56" s="15">
        <v>2105</v>
      </c>
      <c r="R56" s="15"/>
      <c r="S56" s="15"/>
      <c r="T56" s="15"/>
      <c r="V56" s="103">
        <f t="shared" si="4"/>
        <v>0</v>
      </c>
    </row>
    <row r="57" spans="1:22" s="5" customFormat="1" ht="18.75">
      <c r="A57" s="11" t="s">
        <v>295</v>
      </c>
      <c r="B57" s="104" t="s">
        <v>211</v>
      </c>
      <c r="C57" s="105">
        <f t="shared" si="5"/>
        <v>440</v>
      </c>
      <c r="D57" s="15">
        <f t="shared" si="6"/>
        <v>440</v>
      </c>
      <c r="E57" s="15"/>
      <c r="F57" s="15"/>
      <c r="G57" s="15"/>
      <c r="H57" s="15"/>
      <c r="I57" s="15"/>
      <c r="J57" s="15"/>
      <c r="K57" s="15"/>
      <c r="L57" s="15"/>
      <c r="M57" s="15"/>
      <c r="N57" s="15"/>
      <c r="O57" s="15"/>
      <c r="P57" s="15"/>
      <c r="Q57" s="15">
        <v>440</v>
      </c>
      <c r="R57" s="15"/>
      <c r="S57" s="15"/>
      <c r="T57" s="15"/>
      <c r="V57" s="103">
        <f t="shared" si="4"/>
        <v>0</v>
      </c>
    </row>
    <row r="58" spans="1:22" s="5" customFormat="1" ht="18.75">
      <c r="A58" s="11" t="s">
        <v>296</v>
      </c>
      <c r="B58" s="104" t="s">
        <v>213</v>
      </c>
      <c r="C58" s="105">
        <f t="shared" si="5"/>
        <v>1704</v>
      </c>
      <c r="D58" s="15">
        <f t="shared" si="6"/>
        <v>1704</v>
      </c>
      <c r="E58" s="15"/>
      <c r="F58" s="15"/>
      <c r="G58" s="15"/>
      <c r="H58" s="15"/>
      <c r="I58" s="15"/>
      <c r="J58" s="15"/>
      <c r="K58" s="15"/>
      <c r="L58" s="15"/>
      <c r="M58" s="15"/>
      <c r="N58" s="15"/>
      <c r="O58" s="15"/>
      <c r="P58" s="15"/>
      <c r="Q58" s="15">
        <v>1704</v>
      </c>
      <c r="R58" s="15"/>
      <c r="S58" s="15"/>
      <c r="T58" s="15"/>
      <c r="V58" s="103">
        <f t="shared" si="4"/>
        <v>0</v>
      </c>
    </row>
    <row r="59" spans="1:22" s="5" customFormat="1" ht="18.75">
      <c r="A59" s="11">
        <v>10</v>
      </c>
      <c r="B59" s="104" t="s">
        <v>215</v>
      </c>
      <c r="C59" s="105">
        <f t="shared" si="5"/>
        <v>142</v>
      </c>
      <c r="D59" s="15">
        <f t="shared" si="6"/>
        <v>142</v>
      </c>
      <c r="E59" s="15"/>
      <c r="F59" s="15"/>
      <c r="G59" s="15"/>
      <c r="H59" s="15"/>
      <c r="I59" s="15"/>
      <c r="J59" s="15"/>
      <c r="K59" s="15"/>
      <c r="L59" s="15"/>
      <c r="M59" s="15"/>
      <c r="N59" s="15"/>
      <c r="O59" s="15"/>
      <c r="P59" s="15"/>
      <c r="Q59" s="15">
        <v>142</v>
      </c>
      <c r="R59" s="15"/>
      <c r="S59" s="15"/>
      <c r="T59" s="15"/>
      <c r="V59" s="103">
        <f t="shared" si="4"/>
        <v>0</v>
      </c>
    </row>
    <row r="60" spans="1:22" s="5" customFormat="1" ht="37.5">
      <c r="A60" s="11">
        <v>11</v>
      </c>
      <c r="B60" s="104" t="s">
        <v>217</v>
      </c>
      <c r="C60" s="105">
        <f t="shared" si="5"/>
        <v>76</v>
      </c>
      <c r="D60" s="15">
        <f t="shared" si="6"/>
        <v>76</v>
      </c>
      <c r="E60" s="15"/>
      <c r="F60" s="15"/>
      <c r="G60" s="15"/>
      <c r="H60" s="15"/>
      <c r="I60" s="15"/>
      <c r="J60" s="15"/>
      <c r="K60" s="15"/>
      <c r="L60" s="15"/>
      <c r="M60" s="15"/>
      <c r="N60" s="15"/>
      <c r="O60" s="15"/>
      <c r="P60" s="15"/>
      <c r="Q60" s="15">
        <v>76</v>
      </c>
      <c r="R60" s="15"/>
      <c r="S60" s="15"/>
      <c r="T60" s="15"/>
      <c r="V60" s="103">
        <f t="shared" si="4"/>
        <v>0</v>
      </c>
    </row>
    <row r="61" spans="1:22" s="5" customFormat="1" ht="37.5">
      <c r="A61" s="11">
        <v>12</v>
      </c>
      <c r="B61" s="104" t="s">
        <v>219</v>
      </c>
      <c r="C61" s="105">
        <f t="shared" si="5"/>
        <v>153</v>
      </c>
      <c r="D61" s="15">
        <f t="shared" si="6"/>
        <v>153</v>
      </c>
      <c r="E61" s="15"/>
      <c r="F61" s="15"/>
      <c r="G61" s="15"/>
      <c r="H61" s="15"/>
      <c r="I61" s="15"/>
      <c r="J61" s="15"/>
      <c r="K61" s="15"/>
      <c r="L61" s="15"/>
      <c r="M61" s="15"/>
      <c r="N61" s="15"/>
      <c r="O61" s="15"/>
      <c r="P61" s="15"/>
      <c r="Q61" s="15">
        <v>153</v>
      </c>
      <c r="R61" s="15"/>
      <c r="S61" s="15"/>
      <c r="T61" s="15"/>
      <c r="V61" s="103">
        <f t="shared" si="4"/>
        <v>0</v>
      </c>
    </row>
    <row r="62" spans="1:22" s="5" customFormat="1" ht="18.75">
      <c r="A62" s="11">
        <v>13</v>
      </c>
      <c r="B62" s="104" t="s">
        <v>221</v>
      </c>
      <c r="C62" s="105">
        <f t="shared" si="5"/>
        <v>262</v>
      </c>
      <c r="D62" s="15">
        <f t="shared" si="6"/>
        <v>262</v>
      </c>
      <c r="E62" s="15"/>
      <c r="F62" s="15"/>
      <c r="G62" s="15"/>
      <c r="H62" s="15"/>
      <c r="I62" s="15"/>
      <c r="J62" s="15"/>
      <c r="K62" s="15"/>
      <c r="L62" s="15"/>
      <c r="M62" s="15"/>
      <c r="N62" s="15"/>
      <c r="O62" s="15"/>
      <c r="P62" s="15"/>
      <c r="Q62" s="15">
        <v>262</v>
      </c>
      <c r="R62" s="15"/>
      <c r="S62" s="15"/>
      <c r="T62" s="15"/>
      <c r="V62" s="103">
        <f t="shared" si="4"/>
        <v>0</v>
      </c>
    </row>
    <row r="63" spans="1:22" s="5" customFormat="1" ht="18.75">
      <c r="A63" s="11">
        <v>14</v>
      </c>
      <c r="B63" s="104" t="s">
        <v>223</v>
      </c>
      <c r="C63" s="105">
        <f t="shared" si="5"/>
        <v>3373</v>
      </c>
      <c r="D63" s="15">
        <f t="shared" si="6"/>
        <v>3373</v>
      </c>
      <c r="E63" s="15"/>
      <c r="F63" s="15"/>
      <c r="G63" s="15"/>
      <c r="H63" s="15"/>
      <c r="I63" s="15"/>
      <c r="J63" s="15"/>
      <c r="K63" s="15"/>
      <c r="L63" s="15"/>
      <c r="M63" s="15"/>
      <c r="N63" s="15"/>
      <c r="O63" s="15"/>
      <c r="P63" s="15"/>
      <c r="Q63" s="15">
        <v>3373</v>
      </c>
      <c r="R63" s="15"/>
      <c r="S63" s="15"/>
      <c r="T63" s="15"/>
      <c r="V63" s="103">
        <f t="shared" si="4"/>
        <v>0</v>
      </c>
    </row>
    <row r="64" spans="1:22" s="5" customFormat="1" ht="18.75">
      <c r="A64" s="11">
        <v>15</v>
      </c>
      <c r="B64" s="104" t="s">
        <v>225</v>
      </c>
      <c r="C64" s="105">
        <f t="shared" si="5"/>
        <v>3029</v>
      </c>
      <c r="D64" s="15">
        <f t="shared" si="6"/>
        <v>3029</v>
      </c>
      <c r="E64" s="15"/>
      <c r="F64" s="15"/>
      <c r="G64" s="15"/>
      <c r="H64" s="15"/>
      <c r="I64" s="15"/>
      <c r="J64" s="15"/>
      <c r="K64" s="15"/>
      <c r="L64" s="15"/>
      <c r="M64" s="15"/>
      <c r="N64" s="15">
        <v>0</v>
      </c>
      <c r="O64" s="15"/>
      <c r="P64" s="15"/>
      <c r="Q64" s="15">
        <v>3029</v>
      </c>
      <c r="R64" s="15"/>
      <c r="S64" s="15"/>
      <c r="T64" s="15"/>
      <c r="V64" s="103">
        <f t="shared" si="4"/>
        <v>0</v>
      </c>
    </row>
    <row r="65" spans="1:22" s="5" customFormat="1" ht="18.75">
      <c r="A65" s="11">
        <v>16</v>
      </c>
      <c r="B65" s="104" t="s">
        <v>227</v>
      </c>
      <c r="C65" s="105">
        <f t="shared" si="5"/>
        <v>65</v>
      </c>
      <c r="D65" s="15">
        <f t="shared" si="6"/>
        <v>65</v>
      </c>
      <c r="E65" s="15"/>
      <c r="F65" s="15"/>
      <c r="G65" s="15"/>
      <c r="H65" s="15"/>
      <c r="I65" s="15"/>
      <c r="J65" s="15"/>
      <c r="K65" s="15"/>
      <c r="L65" s="15"/>
      <c r="M65" s="15"/>
      <c r="N65" s="15"/>
      <c r="O65" s="15"/>
      <c r="P65" s="15"/>
      <c r="Q65" s="15">
        <v>65</v>
      </c>
      <c r="R65" s="15"/>
      <c r="S65" s="15"/>
      <c r="T65" s="15"/>
      <c r="V65" s="103">
        <f t="shared" si="4"/>
        <v>0</v>
      </c>
    </row>
    <row r="66" spans="1:22" s="5" customFormat="1" ht="18.75">
      <c r="A66" s="11">
        <v>17</v>
      </c>
      <c r="B66" s="104" t="s">
        <v>229</v>
      </c>
      <c r="C66" s="105">
        <f t="shared" si="5"/>
        <v>34</v>
      </c>
      <c r="D66" s="15">
        <f t="shared" si="6"/>
        <v>34</v>
      </c>
      <c r="E66" s="15"/>
      <c r="F66" s="15"/>
      <c r="G66" s="15"/>
      <c r="H66" s="15"/>
      <c r="I66" s="15"/>
      <c r="J66" s="15"/>
      <c r="K66" s="15"/>
      <c r="L66" s="15"/>
      <c r="M66" s="15"/>
      <c r="N66" s="15"/>
      <c r="O66" s="15"/>
      <c r="P66" s="15"/>
      <c r="Q66" s="15">
        <v>34</v>
      </c>
      <c r="R66" s="15"/>
      <c r="S66" s="15"/>
      <c r="T66" s="15"/>
      <c r="V66" s="103">
        <f t="shared" si="4"/>
        <v>0</v>
      </c>
    </row>
    <row r="67" spans="1:22" s="5" customFormat="1" ht="37.5">
      <c r="A67" s="11">
        <v>18</v>
      </c>
      <c r="B67" s="104" t="s">
        <v>332</v>
      </c>
      <c r="C67" s="105">
        <f t="shared" si="5"/>
        <v>18</v>
      </c>
      <c r="D67" s="15">
        <f t="shared" si="6"/>
        <v>18</v>
      </c>
      <c r="E67" s="15"/>
      <c r="F67" s="15"/>
      <c r="G67" s="15"/>
      <c r="H67" s="15"/>
      <c r="I67" s="15"/>
      <c r="J67" s="15"/>
      <c r="K67" s="15"/>
      <c r="L67" s="15"/>
      <c r="M67" s="15"/>
      <c r="N67" s="15"/>
      <c r="O67" s="15"/>
      <c r="P67" s="15"/>
      <c r="Q67" s="15">
        <v>18</v>
      </c>
      <c r="R67" s="15"/>
      <c r="S67" s="15"/>
      <c r="T67" s="15"/>
      <c r="V67" s="103">
        <f t="shared" si="4"/>
        <v>0</v>
      </c>
    </row>
    <row r="68" spans="1:22" s="5" customFormat="1" ht="18.75">
      <c r="A68" s="11">
        <v>19</v>
      </c>
      <c r="B68" s="104" t="s">
        <v>231</v>
      </c>
      <c r="C68" s="105">
        <f t="shared" si="5"/>
        <v>197</v>
      </c>
      <c r="D68" s="15">
        <f t="shared" ref="D68:D69" si="10">SUM(E68:N68)+Q68+R68+S68</f>
        <v>197</v>
      </c>
      <c r="E68" s="15"/>
      <c r="F68" s="15"/>
      <c r="G68" s="15"/>
      <c r="H68" s="15"/>
      <c r="I68" s="15"/>
      <c r="J68" s="15"/>
      <c r="K68" s="15"/>
      <c r="L68" s="15"/>
      <c r="M68" s="15"/>
      <c r="N68" s="15"/>
      <c r="O68" s="15"/>
      <c r="P68" s="15"/>
      <c r="Q68" s="15"/>
      <c r="R68" s="15"/>
      <c r="S68" s="15">
        <v>197</v>
      </c>
      <c r="T68" s="15"/>
      <c r="V68" s="103">
        <f t="shared" si="4"/>
        <v>0</v>
      </c>
    </row>
    <row r="69" spans="1:22" s="5" customFormat="1" ht="18.75">
      <c r="A69" s="11">
        <v>20</v>
      </c>
      <c r="B69" s="104" t="s">
        <v>233</v>
      </c>
      <c r="C69" s="105">
        <f t="shared" si="5"/>
        <v>200</v>
      </c>
      <c r="D69" s="15">
        <f t="shared" si="10"/>
        <v>200</v>
      </c>
      <c r="E69" s="15"/>
      <c r="F69" s="15"/>
      <c r="G69" s="15"/>
      <c r="H69" s="15"/>
      <c r="I69" s="15"/>
      <c r="J69" s="15"/>
      <c r="K69" s="15"/>
      <c r="L69" s="15"/>
      <c r="M69" s="15"/>
      <c r="N69" s="15"/>
      <c r="O69" s="15"/>
      <c r="P69" s="15"/>
      <c r="Q69" s="15"/>
      <c r="R69" s="15"/>
      <c r="S69" s="15">
        <v>200</v>
      </c>
      <c r="T69" s="15"/>
      <c r="V69" s="103">
        <f t="shared" si="4"/>
        <v>0</v>
      </c>
    </row>
    <row r="70" spans="1:22" s="5" customFormat="1" ht="56.25">
      <c r="A70" s="11">
        <v>21</v>
      </c>
      <c r="B70" s="104" t="s">
        <v>235</v>
      </c>
      <c r="C70" s="105">
        <f t="shared" si="5"/>
        <v>15627</v>
      </c>
      <c r="D70" s="15">
        <f t="shared" ref="D70" si="11">SUM(E70:N70)+Q70+R70+S70</f>
        <v>15627</v>
      </c>
      <c r="E70" s="15"/>
      <c r="F70" s="15"/>
      <c r="G70" s="15"/>
      <c r="H70" s="15"/>
      <c r="I70" s="15"/>
      <c r="J70" s="15"/>
      <c r="K70" s="15"/>
      <c r="L70" s="15"/>
      <c r="M70" s="15"/>
      <c r="N70" s="15"/>
      <c r="O70" s="15"/>
      <c r="P70" s="15"/>
      <c r="Q70" s="15"/>
      <c r="R70" s="15">
        <v>15627</v>
      </c>
      <c r="S70" s="15"/>
      <c r="T70" s="15"/>
      <c r="V70" s="103">
        <f t="shared" si="4"/>
        <v>0</v>
      </c>
    </row>
    <row r="71" spans="1:22" s="5" customFormat="1" ht="37.5">
      <c r="A71" s="11" t="s">
        <v>19</v>
      </c>
      <c r="B71" s="104" t="s">
        <v>236</v>
      </c>
      <c r="C71" s="105">
        <f t="shared" si="5"/>
        <v>130</v>
      </c>
      <c r="D71" s="15">
        <f t="shared" si="6"/>
        <v>130</v>
      </c>
      <c r="E71" s="15"/>
      <c r="F71" s="15"/>
      <c r="G71" s="15"/>
      <c r="H71" s="15"/>
      <c r="I71" s="15"/>
      <c r="J71" s="15"/>
      <c r="K71" s="15"/>
      <c r="L71" s="15"/>
      <c r="M71" s="15"/>
      <c r="N71" s="15"/>
      <c r="O71" s="15"/>
      <c r="P71" s="15"/>
      <c r="Q71" s="15"/>
      <c r="R71" s="15">
        <v>130</v>
      </c>
      <c r="S71" s="15"/>
      <c r="T71" s="15"/>
      <c r="V71" s="103">
        <f t="shared" si="4"/>
        <v>0</v>
      </c>
    </row>
    <row r="72" spans="1:22" s="5" customFormat="1" ht="37.5">
      <c r="A72" s="11" t="s">
        <v>19</v>
      </c>
      <c r="B72" s="104" t="s">
        <v>237</v>
      </c>
      <c r="C72" s="105">
        <f t="shared" si="5"/>
        <v>137</v>
      </c>
      <c r="D72" s="15">
        <f t="shared" si="6"/>
        <v>137</v>
      </c>
      <c r="E72" s="15"/>
      <c r="F72" s="15"/>
      <c r="G72" s="15"/>
      <c r="H72" s="15"/>
      <c r="I72" s="15"/>
      <c r="J72" s="15"/>
      <c r="K72" s="15"/>
      <c r="L72" s="15"/>
      <c r="M72" s="15"/>
      <c r="N72" s="15"/>
      <c r="O72" s="15"/>
      <c r="P72" s="15"/>
      <c r="Q72" s="15"/>
      <c r="R72" s="15">
        <v>137</v>
      </c>
      <c r="S72" s="15"/>
      <c r="T72" s="15"/>
      <c r="V72" s="103">
        <f t="shared" si="4"/>
        <v>0</v>
      </c>
    </row>
    <row r="73" spans="1:22" s="5" customFormat="1" ht="37.5">
      <c r="A73" s="11" t="s">
        <v>19</v>
      </c>
      <c r="B73" s="104" t="s">
        <v>238</v>
      </c>
      <c r="C73" s="105">
        <f t="shared" si="5"/>
        <v>161</v>
      </c>
      <c r="D73" s="15">
        <f t="shared" si="6"/>
        <v>161</v>
      </c>
      <c r="E73" s="15"/>
      <c r="F73" s="15"/>
      <c r="G73" s="15"/>
      <c r="H73" s="15"/>
      <c r="I73" s="15"/>
      <c r="J73" s="15"/>
      <c r="K73" s="15"/>
      <c r="L73" s="15"/>
      <c r="M73" s="15"/>
      <c r="N73" s="15"/>
      <c r="O73" s="15"/>
      <c r="P73" s="15"/>
      <c r="Q73" s="15"/>
      <c r="R73" s="15">
        <v>161</v>
      </c>
      <c r="S73" s="15"/>
      <c r="T73" s="15"/>
      <c r="V73" s="103">
        <f t="shared" si="4"/>
        <v>0</v>
      </c>
    </row>
    <row r="74" spans="1:22" s="5" customFormat="1" ht="37.5">
      <c r="A74" s="11" t="s">
        <v>19</v>
      </c>
      <c r="B74" s="104" t="s">
        <v>239</v>
      </c>
      <c r="C74" s="105">
        <f t="shared" si="5"/>
        <v>98</v>
      </c>
      <c r="D74" s="15">
        <f t="shared" si="6"/>
        <v>98</v>
      </c>
      <c r="E74" s="15"/>
      <c r="F74" s="15"/>
      <c r="G74" s="15"/>
      <c r="H74" s="15"/>
      <c r="I74" s="15"/>
      <c r="J74" s="15"/>
      <c r="K74" s="15"/>
      <c r="L74" s="15"/>
      <c r="M74" s="15"/>
      <c r="N74" s="15"/>
      <c r="O74" s="15"/>
      <c r="P74" s="15"/>
      <c r="Q74" s="15"/>
      <c r="R74" s="15">
        <v>98</v>
      </c>
      <c r="S74" s="15"/>
      <c r="T74" s="15"/>
      <c r="V74" s="103">
        <f t="shared" si="4"/>
        <v>0</v>
      </c>
    </row>
    <row r="75" spans="1:22" s="5" customFormat="1" ht="37.5">
      <c r="A75" s="11" t="s">
        <v>19</v>
      </c>
      <c r="B75" s="104" t="s">
        <v>240</v>
      </c>
      <c r="C75" s="105">
        <f t="shared" si="5"/>
        <v>74</v>
      </c>
      <c r="D75" s="15">
        <f t="shared" si="6"/>
        <v>74</v>
      </c>
      <c r="E75" s="15"/>
      <c r="F75" s="15"/>
      <c r="G75" s="15"/>
      <c r="H75" s="15"/>
      <c r="I75" s="15"/>
      <c r="J75" s="15"/>
      <c r="K75" s="15"/>
      <c r="L75" s="15"/>
      <c r="M75" s="15"/>
      <c r="N75" s="15"/>
      <c r="O75" s="15"/>
      <c r="P75" s="15"/>
      <c r="Q75" s="15"/>
      <c r="R75" s="15">
        <v>74</v>
      </c>
      <c r="S75" s="15"/>
      <c r="T75" s="15"/>
      <c r="V75" s="103">
        <f t="shared" si="4"/>
        <v>0</v>
      </c>
    </row>
    <row r="76" spans="1:22" s="5" customFormat="1" ht="37.5">
      <c r="A76" s="11" t="s">
        <v>19</v>
      </c>
      <c r="B76" s="104" t="s">
        <v>241</v>
      </c>
      <c r="C76" s="105">
        <f t="shared" si="5"/>
        <v>827</v>
      </c>
      <c r="D76" s="15">
        <f t="shared" si="6"/>
        <v>827</v>
      </c>
      <c r="E76" s="15"/>
      <c r="F76" s="15"/>
      <c r="G76" s="15"/>
      <c r="H76" s="15"/>
      <c r="I76" s="15"/>
      <c r="J76" s="15"/>
      <c r="K76" s="15"/>
      <c r="L76" s="15"/>
      <c r="M76" s="15"/>
      <c r="N76" s="15"/>
      <c r="O76" s="15"/>
      <c r="P76" s="15"/>
      <c r="Q76" s="15"/>
      <c r="R76" s="15">
        <v>827</v>
      </c>
      <c r="S76" s="15"/>
      <c r="T76" s="15"/>
      <c r="V76" s="103">
        <f t="shared" ref="V76:V107" si="12">D76-E76-F76-G76-H76-I76-J76-K76-L76-M76-N76-Q76-R76-S76</f>
        <v>0</v>
      </c>
    </row>
    <row r="77" spans="1:22" s="5" customFormat="1" ht="37.5">
      <c r="A77" s="11" t="s">
        <v>19</v>
      </c>
      <c r="B77" s="104" t="s">
        <v>242</v>
      </c>
      <c r="C77" s="105">
        <f t="shared" si="5"/>
        <v>216</v>
      </c>
      <c r="D77" s="15">
        <f t="shared" si="6"/>
        <v>216</v>
      </c>
      <c r="E77" s="15"/>
      <c r="F77" s="15"/>
      <c r="G77" s="15"/>
      <c r="H77" s="15"/>
      <c r="I77" s="15"/>
      <c r="J77" s="15"/>
      <c r="K77" s="15"/>
      <c r="L77" s="15"/>
      <c r="M77" s="15"/>
      <c r="N77" s="15"/>
      <c r="O77" s="15"/>
      <c r="P77" s="15"/>
      <c r="Q77" s="15"/>
      <c r="R77" s="15">
        <v>216</v>
      </c>
      <c r="S77" s="15"/>
      <c r="T77" s="15"/>
      <c r="V77" s="103">
        <f t="shared" si="12"/>
        <v>0</v>
      </c>
    </row>
    <row r="78" spans="1:22" s="5" customFormat="1" ht="37.5">
      <c r="A78" s="11" t="s">
        <v>19</v>
      </c>
      <c r="B78" s="104" t="s">
        <v>243</v>
      </c>
      <c r="C78" s="105">
        <f t="shared" ref="C78:C108" si="13">D78+T78</f>
        <v>645</v>
      </c>
      <c r="D78" s="15">
        <f t="shared" si="6"/>
        <v>645</v>
      </c>
      <c r="E78" s="15"/>
      <c r="F78" s="15"/>
      <c r="G78" s="15"/>
      <c r="H78" s="15"/>
      <c r="I78" s="15"/>
      <c r="J78" s="15"/>
      <c r="K78" s="15"/>
      <c r="L78" s="15"/>
      <c r="M78" s="15"/>
      <c r="N78" s="15"/>
      <c r="O78" s="15"/>
      <c r="P78" s="15"/>
      <c r="Q78" s="15"/>
      <c r="R78" s="15">
        <v>645</v>
      </c>
      <c r="S78" s="15"/>
      <c r="T78" s="15"/>
      <c r="V78" s="103">
        <f t="shared" si="12"/>
        <v>0</v>
      </c>
    </row>
    <row r="79" spans="1:22" s="5" customFormat="1" ht="37.5">
      <c r="A79" s="11" t="s">
        <v>19</v>
      </c>
      <c r="B79" s="104" t="s">
        <v>244</v>
      </c>
      <c r="C79" s="105">
        <f t="shared" si="13"/>
        <v>1910</v>
      </c>
      <c r="D79" s="15">
        <f t="shared" ref="D79:D82" si="14">SUM(E79:N79)+Q79+R79+S79</f>
        <v>1910</v>
      </c>
      <c r="E79" s="15"/>
      <c r="F79" s="15"/>
      <c r="G79" s="15"/>
      <c r="H79" s="15"/>
      <c r="I79" s="15"/>
      <c r="J79" s="15"/>
      <c r="K79" s="15"/>
      <c r="L79" s="15"/>
      <c r="M79" s="15"/>
      <c r="N79" s="15"/>
      <c r="O79" s="15"/>
      <c r="P79" s="15"/>
      <c r="Q79" s="15"/>
      <c r="R79" s="15">
        <v>1910</v>
      </c>
      <c r="S79" s="15"/>
      <c r="T79" s="15"/>
      <c r="V79" s="103">
        <f t="shared" si="12"/>
        <v>0</v>
      </c>
    </row>
    <row r="80" spans="1:22" s="5" customFormat="1" ht="37.5">
      <c r="A80" s="11" t="s">
        <v>19</v>
      </c>
      <c r="B80" s="104" t="s">
        <v>245</v>
      </c>
      <c r="C80" s="105">
        <f t="shared" si="13"/>
        <v>3179</v>
      </c>
      <c r="D80" s="15">
        <f t="shared" si="14"/>
        <v>3179</v>
      </c>
      <c r="E80" s="15"/>
      <c r="F80" s="15"/>
      <c r="G80" s="15"/>
      <c r="H80" s="15"/>
      <c r="I80" s="15"/>
      <c r="J80" s="15"/>
      <c r="K80" s="15"/>
      <c r="L80" s="15"/>
      <c r="M80" s="15"/>
      <c r="N80" s="15"/>
      <c r="O80" s="15"/>
      <c r="P80" s="15"/>
      <c r="Q80" s="15"/>
      <c r="R80" s="15">
        <v>3179</v>
      </c>
      <c r="S80" s="15"/>
      <c r="T80" s="15"/>
      <c r="V80" s="103">
        <f t="shared" si="12"/>
        <v>0</v>
      </c>
    </row>
    <row r="81" spans="1:22" s="5" customFormat="1" ht="37.5">
      <c r="A81" s="11" t="s">
        <v>19</v>
      </c>
      <c r="B81" s="104" t="s">
        <v>246</v>
      </c>
      <c r="C81" s="105">
        <f t="shared" si="13"/>
        <v>4778</v>
      </c>
      <c r="D81" s="15">
        <f t="shared" si="14"/>
        <v>4778</v>
      </c>
      <c r="E81" s="15"/>
      <c r="F81" s="15"/>
      <c r="G81" s="15"/>
      <c r="H81" s="15"/>
      <c r="I81" s="15"/>
      <c r="J81" s="15"/>
      <c r="K81" s="15"/>
      <c r="L81" s="15"/>
      <c r="M81" s="15"/>
      <c r="N81" s="15"/>
      <c r="O81" s="15"/>
      <c r="P81" s="15"/>
      <c r="Q81" s="15"/>
      <c r="R81" s="15">
        <v>4778</v>
      </c>
      <c r="S81" s="15"/>
      <c r="T81" s="15"/>
      <c r="V81" s="103">
        <f t="shared" si="12"/>
        <v>0</v>
      </c>
    </row>
    <row r="82" spans="1:22" s="5" customFormat="1" ht="37.5">
      <c r="A82" s="11" t="s">
        <v>19</v>
      </c>
      <c r="B82" s="104" t="s">
        <v>247</v>
      </c>
      <c r="C82" s="105">
        <f t="shared" si="13"/>
        <v>2927</v>
      </c>
      <c r="D82" s="15">
        <f t="shared" si="14"/>
        <v>2927</v>
      </c>
      <c r="E82" s="15"/>
      <c r="F82" s="15"/>
      <c r="G82" s="15"/>
      <c r="H82" s="15"/>
      <c r="I82" s="15"/>
      <c r="J82" s="15"/>
      <c r="K82" s="15"/>
      <c r="L82" s="15"/>
      <c r="M82" s="15"/>
      <c r="N82" s="15"/>
      <c r="O82" s="15"/>
      <c r="P82" s="15"/>
      <c r="Q82" s="15"/>
      <c r="R82" s="15">
        <v>2927</v>
      </c>
      <c r="S82" s="15"/>
      <c r="T82" s="15"/>
      <c r="V82" s="103">
        <f t="shared" si="12"/>
        <v>0</v>
      </c>
    </row>
    <row r="83" spans="1:22" s="5" customFormat="1" ht="37.5">
      <c r="A83" s="11" t="s">
        <v>19</v>
      </c>
      <c r="B83" s="104" t="s">
        <v>248</v>
      </c>
      <c r="C83" s="105">
        <f t="shared" si="13"/>
        <v>545</v>
      </c>
      <c r="D83" s="15">
        <f t="shared" ref="D83" si="15">SUM(E83:N83)+Q83+R83+S83</f>
        <v>545</v>
      </c>
      <c r="E83" s="15"/>
      <c r="F83" s="15"/>
      <c r="G83" s="15"/>
      <c r="H83" s="15"/>
      <c r="I83" s="15"/>
      <c r="J83" s="15"/>
      <c r="K83" s="15"/>
      <c r="L83" s="15"/>
      <c r="M83" s="15"/>
      <c r="N83" s="15"/>
      <c r="O83" s="15"/>
      <c r="P83" s="15"/>
      <c r="Q83" s="15"/>
      <c r="R83" s="15">
        <v>545</v>
      </c>
      <c r="S83" s="15"/>
      <c r="T83" s="15"/>
      <c r="V83" s="103">
        <f t="shared" si="12"/>
        <v>0</v>
      </c>
    </row>
    <row r="84" spans="1:22" s="5" customFormat="1" ht="37.5">
      <c r="A84" s="11">
        <v>22</v>
      </c>
      <c r="B84" s="104" t="s">
        <v>319</v>
      </c>
      <c r="C84" s="105">
        <f t="shared" si="13"/>
        <v>270</v>
      </c>
      <c r="D84" s="15">
        <f t="shared" ref="D84:D96" si="16">SUM(E84:N84)+Q84+R84+S84</f>
        <v>270</v>
      </c>
      <c r="E84" s="15"/>
      <c r="F84" s="15"/>
      <c r="G84" s="15"/>
      <c r="H84" s="15"/>
      <c r="I84" s="15"/>
      <c r="J84" s="15"/>
      <c r="K84" s="15"/>
      <c r="L84" s="15"/>
      <c r="M84" s="15"/>
      <c r="N84" s="15"/>
      <c r="O84" s="15"/>
      <c r="P84" s="15"/>
      <c r="Q84" s="15">
        <f>SUM(Q85:Q94)</f>
        <v>270</v>
      </c>
      <c r="R84" s="15"/>
      <c r="S84" s="15">
        <f>SUM(S85:S94)</f>
        <v>0</v>
      </c>
      <c r="T84" s="15"/>
      <c r="V84" s="103">
        <f t="shared" si="12"/>
        <v>0</v>
      </c>
    </row>
    <row r="85" spans="1:22" s="5" customFormat="1" ht="18.75">
      <c r="A85" s="11" t="s">
        <v>19</v>
      </c>
      <c r="B85" s="104" t="s">
        <v>252</v>
      </c>
      <c r="C85" s="105">
        <f t="shared" si="13"/>
        <v>27</v>
      </c>
      <c r="D85" s="15">
        <f t="shared" si="16"/>
        <v>27</v>
      </c>
      <c r="E85" s="15"/>
      <c r="F85" s="15"/>
      <c r="G85" s="15"/>
      <c r="H85" s="15"/>
      <c r="I85" s="15"/>
      <c r="J85" s="15"/>
      <c r="K85" s="15"/>
      <c r="L85" s="15"/>
      <c r="M85" s="15"/>
      <c r="N85" s="15"/>
      <c r="O85" s="15"/>
      <c r="P85" s="15"/>
      <c r="Q85" s="15">
        <v>27</v>
      </c>
      <c r="R85" s="15"/>
      <c r="S85" s="15"/>
      <c r="T85" s="15"/>
      <c r="V85" s="103">
        <f t="shared" si="12"/>
        <v>0</v>
      </c>
    </row>
    <row r="86" spans="1:22" s="5" customFormat="1" ht="18.75">
      <c r="A86" s="11" t="s">
        <v>19</v>
      </c>
      <c r="B86" s="104" t="s">
        <v>320</v>
      </c>
      <c r="C86" s="105">
        <f t="shared" si="13"/>
        <v>27</v>
      </c>
      <c r="D86" s="15">
        <f t="shared" si="16"/>
        <v>27</v>
      </c>
      <c r="E86" s="15"/>
      <c r="F86" s="15"/>
      <c r="G86" s="15"/>
      <c r="H86" s="15"/>
      <c r="I86" s="15"/>
      <c r="J86" s="15"/>
      <c r="K86" s="15"/>
      <c r="L86" s="15"/>
      <c r="M86" s="15"/>
      <c r="N86" s="15"/>
      <c r="O86" s="15"/>
      <c r="P86" s="15"/>
      <c r="Q86" s="15">
        <v>27</v>
      </c>
      <c r="R86" s="15"/>
      <c r="S86" s="15"/>
      <c r="T86" s="15"/>
      <c r="V86" s="103">
        <f t="shared" si="12"/>
        <v>0</v>
      </c>
    </row>
    <row r="87" spans="1:22" s="5" customFormat="1" ht="18.75">
      <c r="A87" s="11" t="s">
        <v>19</v>
      </c>
      <c r="B87" s="104" t="s">
        <v>321</v>
      </c>
      <c r="C87" s="105">
        <f t="shared" si="13"/>
        <v>27</v>
      </c>
      <c r="D87" s="15">
        <f t="shared" si="16"/>
        <v>27</v>
      </c>
      <c r="E87" s="15"/>
      <c r="F87" s="15"/>
      <c r="G87" s="15"/>
      <c r="H87" s="15"/>
      <c r="I87" s="15"/>
      <c r="J87" s="15"/>
      <c r="K87" s="15"/>
      <c r="L87" s="15"/>
      <c r="M87" s="15"/>
      <c r="N87" s="15"/>
      <c r="O87" s="15"/>
      <c r="P87" s="15"/>
      <c r="Q87" s="15">
        <v>27</v>
      </c>
      <c r="R87" s="15"/>
      <c r="S87" s="15"/>
      <c r="T87" s="15"/>
      <c r="V87" s="103">
        <f t="shared" si="12"/>
        <v>0</v>
      </c>
    </row>
    <row r="88" spans="1:22" s="5" customFormat="1" ht="18.75">
      <c r="A88" s="11" t="s">
        <v>19</v>
      </c>
      <c r="B88" s="104" t="s">
        <v>322</v>
      </c>
      <c r="C88" s="105">
        <f t="shared" si="13"/>
        <v>27</v>
      </c>
      <c r="D88" s="15">
        <f t="shared" si="16"/>
        <v>27</v>
      </c>
      <c r="E88" s="15"/>
      <c r="F88" s="15"/>
      <c r="G88" s="15"/>
      <c r="H88" s="15"/>
      <c r="I88" s="15"/>
      <c r="J88" s="15"/>
      <c r="K88" s="15"/>
      <c r="L88" s="15"/>
      <c r="M88" s="15"/>
      <c r="N88" s="15"/>
      <c r="O88" s="15"/>
      <c r="P88" s="15"/>
      <c r="Q88" s="15">
        <v>27</v>
      </c>
      <c r="R88" s="15"/>
      <c r="S88" s="15"/>
      <c r="T88" s="15"/>
      <c r="V88" s="103">
        <f t="shared" si="12"/>
        <v>0</v>
      </c>
    </row>
    <row r="89" spans="1:22" s="5" customFormat="1" ht="18.75">
      <c r="A89" s="11" t="s">
        <v>19</v>
      </c>
      <c r="B89" s="104" t="s">
        <v>323</v>
      </c>
      <c r="C89" s="105">
        <f t="shared" si="13"/>
        <v>27</v>
      </c>
      <c r="D89" s="15">
        <f t="shared" si="16"/>
        <v>27</v>
      </c>
      <c r="E89" s="15"/>
      <c r="F89" s="15"/>
      <c r="G89" s="15"/>
      <c r="H89" s="15"/>
      <c r="I89" s="15"/>
      <c r="J89" s="15"/>
      <c r="K89" s="15"/>
      <c r="L89" s="15"/>
      <c r="M89" s="15"/>
      <c r="N89" s="15"/>
      <c r="O89" s="15"/>
      <c r="P89" s="15"/>
      <c r="Q89" s="15">
        <v>27</v>
      </c>
      <c r="R89" s="15"/>
      <c r="S89" s="15"/>
      <c r="T89" s="15"/>
      <c r="V89" s="103">
        <f t="shared" si="12"/>
        <v>0</v>
      </c>
    </row>
    <row r="90" spans="1:22" s="5" customFormat="1" ht="18.75">
      <c r="A90" s="11" t="s">
        <v>19</v>
      </c>
      <c r="B90" s="104" t="s">
        <v>324</v>
      </c>
      <c r="C90" s="105">
        <f t="shared" si="13"/>
        <v>27</v>
      </c>
      <c r="D90" s="15">
        <f t="shared" si="16"/>
        <v>27</v>
      </c>
      <c r="E90" s="15"/>
      <c r="F90" s="15"/>
      <c r="G90" s="15"/>
      <c r="H90" s="15"/>
      <c r="I90" s="15"/>
      <c r="J90" s="15"/>
      <c r="K90" s="15"/>
      <c r="L90" s="15"/>
      <c r="M90" s="15"/>
      <c r="N90" s="15"/>
      <c r="O90" s="15"/>
      <c r="P90" s="15"/>
      <c r="Q90" s="15">
        <v>27</v>
      </c>
      <c r="R90" s="15"/>
      <c r="S90" s="15"/>
      <c r="T90" s="15"/>
      <c r="V90" s="103">
        <f t="shared" si="12"/>
        <v>0</v>
      </c>
    </row>
    <row r="91" spans="1:22" s="5" customFormat="1" ht="18.75">
      <c r="A91" s="11" t="s">
        <v>19</v>
      </c>
      <c r="B91" s="104" t="s">
        <v>325</v>
      </c>
      <c r="C91" s="105">
        <f t="shared" si="13"/>
        <v>27</v>
      </c>
      <c r="D91" s="15">
        <f t="shared" si="16"/>
        <v>27</v>
      </c>
      <c r="E91" s="15"/>
      <c r="F91" s="15"/>
      <c r="G91" s="15"/>
      <c r="H91" s="15"/>
      <c r="I91" s="15"/>
      <c r="J91" s="15"/>
      <c r="K91" s="15"/>
      <c r="L91" s="15"/>
      <c r="M91" s="15"/>
      <c r="N91" s="15"/>
      <c r="O91" s="15"/>
      <c r="P91" s="15"/>
      <c r="Q91" s="15">
        <v>27</v>
      </c>
      <c r="R91" s="15"/>
      <c r="S91" s="15"/>
      <c r="T91" s="15"/>
      <c r="V91" s="103">
        <f t="shared" si="12"/>
        <v>0</v>
      </c>
    </row>
    <row r="92" spans="1:22" s="5" customFormat="1" ht="37.5">
      <c r="A92" s="11" t="s">
        <v>19</v>
      </c>
      <c r="B92" s="104" t="s">
        <v>326</v>
      </c>
      <c r="C92" s="105">
        <f t="shared" si="13"/>
        <v>27</v>
      </c>
      <c r="D92" s="15">
        <f t="shared" si="16"/>
        <v>27</v>
      </c>
      <c r="E92" s="15"/>
      <c r="F92" s="15"/>
      <c r="G92" s="15"/>
      <c r="H92" s="15"/>
      <c r="I92" s="15"/>
      <c r="J92" s="15"/>
      <c r="K92" s="15"/>
      <c r="L92" s="15"/>
      <c r="M92" s="15"/>
      <c r="N92" s="15"/>
      <c r="O92" s="15"/>
      <c r="P92" s="15"/>
      <c r="Q92" s="15">
        <v>27</v>
      </c>
      <c r="R92" s="15"/>
      <c r="S92" s="15"/>
      <c r="T92" s="15"/>
      <c r="V92" s="103">
        <f t="shared" si="12"/>
        <v>0</v>
      </c>
    </row>
    <row r="93" spans="1:22" s="5" customFormat="1" ht="18.75">
      <c r="A93" s="11" t="s">
        <v>19</v>
      </c>
      <c r="B93" s="104" t="s">
        <v>327</v>
      </c>
      <c r="C93" s="105">
        <f t="shared" si="13"/>
        <v>27</v>
      </c>
      <c r="D93" s="15">
        <f t="shared" si="16"/>
        <v>27</v>
      </c>
      <c r="E93" s="15"/>
      <c r="F93" s="15"/>
      <c r="G93" s="15"/>
      <c r="H93" s="15"/>
      <c r="I93" s="15"/>
      <c r="J93" s="15"/>
      <c r="K93" s="15"/>
      <c r="L93" s="15"/>
      <c r="M93" s="15"/>
      <c r="N93" s="15"/>
      <c r="O93" s="15"/>
      <c r="P93" s="15"/>
      <c r="Q93" s="15">
        <v>27</v>
      </c>
      <c r="R93" s="15"/>
      <c r="S93" s="15"/>
      <c r="T93" s="15"/>
      <c r="V93" s="103">
        <f t="shared" si="12"/>
        <v>0</v>
      </c>
    </row>
    <row r="94" spans="1:22" s="5" customFormat="1" ht="37.5">
      <c r="A94" s="11" t="s">
        <v>19</v>
      </c>
      <c r="B94" s="104" t="s">
        <v>328</v>
      </c>
      <c r="C94" s="105">
        <f t="shared" si="13"/>
        <v>27</v>
      </c>
      <c r="D94" s="15">
        <f t="shared" si="16"/>
        <v>27</v>
      </c>
      <c r="E94" s="15"/>
      <c r="F94" s="15"/>
      <c r="G94" s="15"/>
      <c r="H94" s="15"/>
      <c r="I94" s="15"/>
      <c r="J94" s="15"/>
      <c r="K94" s="15"/>
      <c r="L94" s="15"/>
      <c r="M94" s="15"/>
      <c r="N94" s="15"/>
      <c r="O94" s="15"/>
      <c r="P94" s="15"/>
      <c r="Q94" s="15">
        <v>27</v>
      </c>
      <c r="R94" s="15"/>
      <c r="S94" s="15"/>
      <c r="T94" s="15"/>
      <c r="V94" s="103">
        <f t="shared" si="12"/>
        <v>0</v>
      </c>
    </row>
    <row r="95" spans="1:22" s="12" customFormat="1" ht="37.5">
      <c r="A95" s="10" t="s">
        <v>67</v>
      </c>
      <c r="B95" s="102" t="s">
        <v>1216</v>
      </c>
      <c r="C95" s="14">
        <f t="shared" si="13"/>
        <v>13274</v>
      </c>
      <c r="D95" s="14">
        <f t="shared" si="16"/>
        <v>13274</v>
      </c>
      <c r="E95" s="14"/>
      <c r="F95" s="14"/>
      <c r="G95" s="14"/>
      <c r="H95" s="14"/>
      <c r="I95" s="14"/>
      <c r="J95" s="14"/>
      <c r="K95" s="14"/>
      <c r="L95" s="14"/>
      <c r="M95" s="14"/>
      <c r="N95" s="14"/>
      <c r="O95" s="14"/>
      <c r="P95" s="14"/>
      <c r="Q95" s="14">
        <f>5449+7826-1</f>
        <v>13274</v>
      </c>
      <c r="R95" s="14"/>
      <c r="S95" s="14"/>
      <c r="T95" s="14"/>
      <c r="V95" s="103">
        <f t="shared" si="12"/>
        <v>0</v>
      </c>
    </row>
    <row r="96" spans="1:22" s="12" customFormat="1" ht="37.5" hidden="1" outlineLevel="1">
      <c r="A96" s="10" t="s">
        <v>69</v>
      </c>
      <c r="B96" s="102" t="s">
        <v>329</v>
      </c>
      <c r="C96" s="14">
        <f t="shared" si="13"/>
        <v>0</v>
      </c>
      <c r="D96" s="14">
        <f t="shared" si="16"/>
        <v>0</v>
      </c>
      <c r="E96" s="14"/>
      <c r="F96" s="14"/>
      <c r="G96" s="14"/>
      <c r="H96" s="14"/>
      <c r="I96" s="14"/>
      <c r="J96" s="14"/>
      <c r="K96" s="14"/>
      <c r="L96" s="14"/>
      <c r="M96" s="14"/>
      <c r="N96" s="14"/>
      <c r="O96" s="14"/>
      <c r="P96" s="14"/>
      <c r="Q96" s="14"/>
      <c r="R96" s="14">
        <v>0</v>
      </c>
      <c r="S96" s="14"/>
      <c r="T96" s="14"/>
      <c r="V96" s="103">
        <f t="shared" si="12"/>
        <v>0</v>
      </c>
    </row>
    <row r="97" spans="1:22" s="12" customFormat="1" ht="18.75" collapsed="1">
      <c r="A97" s="10" t="s">
        <v>69</v>
      </c>
      <c r="B97" s="102" t="s">
        <v>1215</v>
      </c>
      <c r="C97" s="14">
        <f t="shared" si="13"/>
        <v>28501</v>
      </c>
      <c r="D97" s="14">
        <f t="shared" ref="D97:R97" si="17">SUM(D98:D106)</f>
        <v>28501</v>
      </c>
      <c r="E97" s="14">
        <f t="shared" si="17"/>
        <v>0</v>
      </c>
      <c r="F97" s="14">
        <f t="shared" si="17"/>
        <v>8</v>
      </c>
      <c r="G97" s="14">
        <f t="shared" si="17"/>
        <v>0</v>
      </c>
      <c r="H97" s="14">
        <f t="shared" si="17"/>
        <v>0</v>
      </c>
      <c r="I97" s="14">
        <f t="shared" si="17"/>
        <v>0</v>
      </c>
      <c r="J97" s="14">
        <f t="shared" si="17"/>
        <v>0</v>
      </c>
      <c r="K97" s="14">
        <f t="shared" si="17"/>
        <v>0</v>
      </c>
      <c r="L97" s="14">
        <f t="shared" si="17"/>
        <v>0</v>
      </c>
      <c r="M97" s="14">
        <f t="shared" si="17"/>
        <v>0</v>
      </c>
      <c r="N97" s="14">
        <f t="shared" si="17"/>
        <v>0</v>
      </c>
      <c r="O97" s="14">
        <f t="shared" si="17"/>
        <v>0</v>
      </c>
      <c r="P97" s="14">
        <f t="shared" si="17"/>
        <v>0</v>
      </c>
      <c r="Q97" s="14">
        <f t="shared" si="17"/>
        <v>5677</v>
      </c>
      <c r="R97" s="14">
        <f t="shared" si="17"/>
        <v>0</v>
      </c>
      <c r="S97" s="14">
        <f>SUM(S98:S106)</f>
        <v>22816</v>
      </c>
      <c r="T97" s="14"/>
      <c r="V97" s="103">
        <f t="shared" si="12"/>
        <v>0</v>
      </c>
    </row>
    <row r="98" spans="1:22" s="5" customFormat="1" ht="18.75">
      <c r="A98" s="11" t="s">
        <v>19</v>
      </c>
      <c r="B98" s="106" t="s">
        <v>333</v>
      </c>
      <c r="C98" s="105">
        <f t="shared" si="13"/>
        <v>3000</v>
      </c>
      <c r="D98" s="15">
        <f t="shared" ref="D98:D107" si="18">SUM(E98:N98)+Q98+R98+S98</f>
        <v>3000</v>
      </c>
      <c r="E98" s="107"/>
      <c r="F98" s="107"/>
      <c r="G98" s="107"/>
      <c r="H98" s="107"/>
      <c r="I98" s="107"/>
      <c r="J98" s="107"/>
      <c r="K98" s="107"/>
      <c r="L98" s="107"/>
      <c r="M98" s="107"/>
      <c r="N98" s="107"/>
      <c r="O98" s="107"/>
      <c r="P98" s="107"/>
      <c r="Q98" s="107"/>
      <c r="R98" s="107"/>
      <c r="S98" s="107">
        <v>3000</v>
      </c>
      <c r="T98" s="107"/>
      <c r="V98" s="103">
        <f t="shared" si="12"/>
        <v>0</v>
      </c>
    </row>
    <row r="99" spans="1:22" s="5" customFormat="1" ht="37.5">
      <c r="A99" s="11" t="s">
        <v>19</v>
      </c>
      <c r="B99" s="106" t="s">
        <v>334</v>
      </c>
      <c r="C99" s="105">
        <f t="shared" si="13"/>
        <v>3678</v>
      </c>
      <c r="D99" s="15">
        <f t="shared" si="18"/>
        <v>3678</v>
      </c>
      <c r="E99" s="107"/>
      <c r="F99" s="107"/>
      <c r="G99" s="107"/>
      <c r="H99" s="107"/>
      <c r="I99" s="107"/>
      <c r="J99" s="107"/>
      <c r="K99" s="107"/>
      <c r="L99" s="107"/>
      <c r="M99" s="107"/>
      <c r="N99" s="107"/>
      <c r="O99" s="107"/>
      <c r="P99" s="107"/>
      <c r="Q99" s="107">
        <v>3678</v>
      </c>
      <c r="R99" s="107"/>
      <c r="S99" s="107"/>
      <c r="T99" s="107"/>
      <c r="V99" s="103">
        <f t="shared" si="12"/>
        <v>0</v>
      </c>
    </row>
    <row r="100" spans="1:22" s="5" customFormat="1" ht="37.5">
      <c r="A100" s="11" t="s">
        <v>19</v>
      </c>
      <c r="B100" s="106" t="s">
        <v>335</v>
      </c>
      <c r="C100" s="105">
        <f t="shared" si="13"/>
        <v>1999</v>
      </c>
      <c r="D100" s="15">
        <f t="shared" si="18"/>
        <v>1999</v>
      </c>
      <c r="E100" s="107"/>
      <c r="F100" s="107"/>
      <c r="G100" s="107"/>
      <c r="H100" s="107"/>
      <c r="I100" s="107"/>
      <c r="J100" s="107"/>
      <c r="K100" s="107"/>
      <c r="L100" s="107"/>
      <c r="M100" s="107"/>
      <c r="N100" s="107"/>
      <c r="O100" s="107"/>
      <c r="P100" s="107"/>
      <c r="Q100" s="107">
        <v>1999</v>
      </c>
      <c r="R100" s="107"/>
      <c r="S100" s="107"/>
      <c r="T100" s="107"/>
      <c r="V100" s="103">
        <f t="shared" si="12"/>
        <v>0</v>
      </c>
    </row>
    <row r="101" spans="1:22" s="5" customFormat="1" ht="75">
      <c r="A101" s="11" t="s">
        <v>19</v>
      </c>
      <c r="B101" s="106" t="s">
        <v>336</v>
      </c>
      <c r="C101" s="105">
        <f t="shared" si="13"/>
        <v>0</v>
      </c>
      <c r="D101" s="15">
        <f t="shared" si="18"/>
        <v>0</v>
      </c>
      <c r="E101" s="107"/>
      <c r="F101" s="107">
        <v>8</v>
      </c>
      <c r="G101" s="107"/>
      <c r="H101" s="107"/>
      <c r="I101" s="107"/>
      <c r="J101" s="107"/>
      <c r="K101" s="107"/>
      <c r="L101" s="107"/>
      <c r="M101" s="107"/>
      <c r="N101" s="107"/>
      <c r="O101" s="107"/>
      <c r="P101" s="107"/>
      <c r="Q101" s="107"/>
      <c r="R101" s="107"/>
      <c r="S101" s="107">
        <v>-8</v>
      </c>
      <c r="T101" s="107"/>
      <c r="V101" s="103">
        <f t="shared" si="12"/>
        <v>0</v>
      </c>
    </row>
    <row r="102" spans="1:22" s="5" customFormat="1" ht="75">
      <c r="A102" s="11" t="s">
        <v>19</v>
      </c>
      <c r="B102" s="106" t="s">
        <v>337</v>
      </c>
      <c r="C102" s="105">
        <f t="shared" si="13"/>
        <v>4000</v>
      </c>
      <c r="D102" s="15">
        <f t="shared" si="18"/>
        <v>4000</v>
      </c>
      <c r="E102" s="107"/>
      <c r="F102" s="107"/>
      <c r="G102" s="107"/>
      <c r="H102" s="107"/>
      <c r="I102" s="107"/>
      <c r="J102" s="107"/>
      <c r="K102" s="107"/>
      <c r="L102" s="107"/>
      <c r="M102" s="107"/>
      <c r="N102" s="107"/>
      <c r="O102" s="107"/>
      <c r="P102" s="107"/>
      <c r="Q102" s="107"/>
      <c r="R102" s="107"/>
      <c r="S102" s="107">
        <v>4000</v>
      </c>
      <c r="T102" s="107"/>
      <c r="V102" s="103">
        <f t="shared" si="12"/>
        <v>0</v>
      </c>
    </row>
    <row r="103" spans="1:22" s="5" customFormat="1" ht="56.25">
      <c r="A103" s="11" t="s">
        <v>19</v>
      </c>
      <c r="B103" s="106" t="s">
        <v>338</v>
      </c>
      <c r="C103" s="105">
        <f t="shared" si="13"/>
        <v>7000</v>
      </c>
      <c r="D103" s="15">
        <f t="shared" si="18"/>
        <v>7000</v>
      </c>
      <c r="E103" s="107"/>
      <c r="F103" s="107"/>
      <c r="G103" s="107"/>
      <c r="H103" s="107"/>
      <c r="I103" s="107"/>
      <c r="J103" s="107"/>
      <c r="K103" s="107"/>
      <c r="L103" s="107"/>
      <c r="M103" s="107"/>
      <c r="N103" s="107"/>
      <c r="O103" s="107"/>
      <c r="P103" s="107"/>
      <c r="Q103" s="107"/>
      <c r="R103" s="107"/>
      <c r="S103" s="107">
        <v>7000</v>
      </c>
      <c r="T103" s="107"/>
      <c r="V103" s="103">
        <f t="shared" si="12"/>
        <v>0</v>
      </c>
    </row>
    <row r="104" spans="1:22" s="5" customFormat="1" ht="18.75" hidden="1">
      <c r="A104" s="11" t="s">
        <v>19</v>
      </c>
      <c r="B104" s="106" t="s">
        <v>339</v>
      </c>
      <c r="C104" s="105">
        <f t="shared" si="13"/>
        <v>0</v>
      </c>
      <c r="D104" s="15">
        <f t="shared" si="18"/>
        <v>0</v>
      </c>
      <c r="E104" s="107"/>
      <c r="F104" s="107"/>
      <c r="G104" s="107"/>
      <c r="H104" s="107"/>
      <c r="I104" s="107"/>
      <c r="J104" s="107"/>
      <c r="K104" s="107"/>
      <c r="L104" s="107"/>
      <c r="M104" s="107"/>
      <c r="N104" s="107"/>
      <c r="O104" s="107"/>
      <c r="P104" s="107"/>
      <c r="Q104" s="107">
        <f>7826-7826</f>
        <v>0</v>
      </c>
      <c r="R104" s="107"/>
      <c r="S104" s="107"/>
      <c r="T104" s="107"/>
      <c r="V104" s="103">
        <f t="shared" si="12"/>
        <v>0</v>
      </c>
    </row>
    <row r="105" spans="1:22" s="5" customFormat="1" ht="75" hidden="1">
      <c r="A105" s="11" t="s">
        <v>19</v>
      </c>
      <c r="B105" s="106" t="s">
        <v>340</v>
      </c>
      <c r="C105" s="105">
        <f t="shared" si="13"/>
        <v>0</v>
      </c>
      <c r="D105" s="15">
        <f t="shared" si="18"/>
        <v>0</v>
      </c>
      <c r="E105" s="107"/>
      <c r="F105" s="107"/>
      <c r="G105" s="107"/>
      <c r="H105" s="107"/>
      <c r="I105" s="107"/>
      <c r="J105" s="107"/>
      <c r="K105" s="107"/>
      <c r="L105" s="107"/>
      <c r="M105" s="107"/>
      <c r="N105" s="107"/>
      <c r="O105" s="107"/>
      <c r="P105" s="107"/>
      <c r="Q105" s="107"/>
      <c r="R105" s="107"/>
      <c r="S105" s="107">
        <v>0</v>
      </c>
      <c r="T105" s="107"/>
      <c r="V105" s="103">
        <f t="shared" si="12"/>
        <v>0</v>
      </c>
    </row>
    <row r="106" spans="1:22" s="5" customFormat="1" ht="150">
      <c r="A106" s="11" t="s">
        <v>19</v>
      </c>
      <c r="B106" s="106" t="s">
        <v>341</v>
      </c>
      <c r="C106" s="105">
        <f t="shared" si="13"/>
        <v>8824</v>
      </c>
      <c r="D106" s="15">
        <f t="shared" si="18"/>
        <v>8824</v>
      </c>
      <c r="E106" s="107"/>
      <c r="F106" s="107"/>
      <c r="G106" s="107"/>
      <c r="H106" s="107"/>
      <c r="I106" s="107"/>
      <c r="J106" s="107"/>
      <c r="K106" s="107"/>
      <c r="L106" s="107"/>
      <c r="M106" s="107"/>
      <c r="N106" s="107"/>
      <c r="O106" s="107"/>
      <c r="P106" s="107"/>
      <c r="Q106" s="107"/>
      <c r="R106" s="107"/>
      <c r="S106" s="107">
        <v>8824</v>
      </c>
      <c r="T106" s="107"/>
      <c r="V106" s="103">
        <f t="shared" si="12"/>
        <v>0</v>
      </c>
    </row>
    <row r="107" spans="1:22" s="12" customFormat="1" ht="18.75">
      <c r="A107" s="108" t="s">
        <v>71</v>
      </c>
      <c r="B107" s="109" t="s">
        <v>257</v>
      </c>
      <c r="C107" s="110">
        <f t="shared" si="13"/>
        <v>-7669</v>
      </c>
      <c r="D107" s="14">
        <f t="shared" si="18"/>
        <v>-7669</v>
      </c>
      <c r="E107" s="111">
        <v>-20011</v>
      </c>
      <c r="F107" s="111">
        <v>13</v>
      </c>
      <c r="G107" s="111"/>
      <c r="H107" s="111"/>
      <c r="I107" s="111"/>
      <c r="J107" s="111"/>
      <c r="K107" s="111"/>
      <c r="L107" s="111"/>
      <c r="M107" s="111"/>
      <c r="N107" s="111"/>
      <c r="O107" s="111"/>
      <c r="P107" s="111"/>
      <c r="Q107" s="111"/>
      <c r="R107" s="111"/>
      <c r="S107" s="111">
        <v>12329</v>
      </c>
      <c r="T107" s="111"/>
      <c r="V107" s="103">
        <f t="shared" si="12"/>
        <v>0</v>
      </c>
    </row>
    <row r="108" spans="1:22" s="12" customFormat="1" ht="37.5">
      <c r="A108" s="112" t="s">
        <v>11</v>
      </c>
      <c r="B108" s="113" t="s">
        <v>281</v>
      </c>
      <c r="C108" s="114">
        <f t="shared" si="13"/>
        <v>293524</v>
      </c>
      <c r="D108" s="114"/>
      <c r="E108" s="114"/>
      <c r="F108" s="114"/>
      <c r="G108" s="114"/>
      <c r="H108" s="114"/>
      <c r="I108" s="114"/>
      <c r="J108" s="114"/>
      <c r="K108" s="114"/>
      <c r="L108" s="114"/>
      <c r="M108" s="114"/>
      <c r="N108" s="114"/>
      <c r="O108" s="114"/>
      <c r="P108" s="114"/>
      <c r="Q108" s="114"/>
      <c r="R108" s="114"/>
      <c r="S108" s="114"/>
      <c r="T108" s="114">
        <f>'PL33'!E52</f>
        <v>293524</v>
      </c>
    </row>
    <row r="110" spans="1:22" s="5" customFormat="1" ht="18.75">
      <c r="A110" s="71" t="s">
        <v>1211</v>
      </c>
      <c r="B110" s="93"/>
      <c r="C110" s="51"/>
      <c r="D110" s="51"/>
      <c r="E110" s="51"/>
      <c r="F110" s="51"/>
      <c r="G110" s="51"/>
      <c r="H110" s="51"/>
      <c r="I110" s="51"/>
      <c r="J110" s="51"/>
      <c r="K110" s="51"/>
      <c r="L110" s="51"/>
      <c r="M110" s="51"/>
      <c r="N110" s="51"/>
      <c r="O110" s="51"/>
      <c r="P110" s="51"/>
      <c r="Q110" s="51"/>
    </row>
    <row r="111" spans="1:22" s="5" customFormat="1" ht="27" customHeight="1">
      <c r="A111" s="58"/>
      <c r="B111" s="1183" t="s">
        <v>1213</v>
      </c>
      <c r="C111" s="1183"/>
      <c r="D111" s="1183"/>
      <c r="E111" s="1183"/>
      <c r="F111" s="1183"/>
      <c r="G111" s="1183"/>
      <c r="H111" s="1183"/>
      <c r="I111" s="1183"/>
      <c r="J111" s="1183"/>
      <c r="K111" s="1183"/>
      <c r="L111" s="1183"/>
      <c r="M111" s="1183"/>
      <c r="N111" s="1183"/>
      <c r="O111" s="1183"/>
      <c r="P111" s="1183"/>
      <c r="Q111" s="1183"/>
    </row>
    <row r="112" spans="1:22" s="5" customFormat="1" ht="27" customHeight="1">
      <c r="A112" s="58"/>
      <c r="B112" s="1183" t="s">
        <v>1212</v>
      </c>
      <c r="C112" s="1183"/>
      <c r="D112" s="1183"/>
      <c r="E112" s="1183"/>
      <c r="F112" s="1183"/>
      <c r="G112" s="1183"/>
      <c r="H112" s="1183"/>
      <c r="I112" s="1183"/>
      <c r="J112" s="1183"/>
      <c r="K112" s="1183"/>
      <c r="L112" s="1183"/>
      <c r="M112" s="1183"/>
      <c r="N112" s="1183"/>
      <c r="O112" s="1183"/>
      <c r="P112" s="1183"/>
      <c r="Q112" s="1183"/>
    </row>
    <row r="113" spans="1:20" s="5" customFormat="1" ht="61.5" customHeight="1">
      <c r="A113" s="58"/>
      <c r="B113" s="1182" t="s">
        <v>1219</v>
      </c>
      <c r="C113" s="1182"/>
      <c r="D113" s="1182"/>
      <c r="E113" s="1182"/>
      <c r="F113" s="1182"/>
      <c r="G113" s="1182"/>
      <c r="H113" s="1182"/>
      <c r="I113" s="1182"/>
      <c r="J113" s="1182"/>
      <c r="K113" s="1182"/>
      <c r="L113" s="1182"/>
      <c r="M113" s="1182"/>
      <c r="N113" s="1182"/>
      <c r="O113" s="1182"/>
      <c r="P113" s="1182"/>
      <c r="Q113" s="1182"/>
      <c r="R113" s="1182"/>
      <c r="S113" s="1182"/>
      <c r="T113" s="1182"/>
    </row>
  </sheetData>
  <mergeCells count="26">
    <mergeCell ref="A2:S2"/>
    <mergeCell ref="A3:S3"/>
    <mergeCell ref="A5:A8"/>
    <mergeCell ref="B5:B8"/>
    <mergeCell ref="C5:C8"/>
    <mergeCell ref="D5:D8"/>
    <mergeCell ref="E5:E8"/>
    <mergeCell ref="F5:F8"/>
    <mergeCell ref="G5:G8"/>
    <mergeCell ref="H5:H8"/>
    <mergeCell ref="I5:I8"/>
    <mergeCell ref="J5:J8"/>
    <mergeCell ref="K5:K8"/>
    <mergeCell ref="B111:Q111"/>
    <mergeCell ref="B113:T113"/>
    <mergeCell ref="S5:S8"/>
    <mergeCell ref="T5:T8"/>
    <mergeCell ref="O6:O8"/>
    <mergeCell ref="P6:P8"/>
    <mergeCell ref="L5:L8"/>
    <mergeCell ref="M5:M8"/>
    <mergeCell ref="O5:P5"/>
    <mergeCell ref="Q5:Q8"/>
    <mergeCell ref="R5:R8"/>
    <mergeCell ref="B112:Q112"/>
    <mergeCell ref="N5:N8"/>
  </mergeCells>
  <printOptions horizontalCentered="1"/>
  <pageMargins left="0.2" right="0.23" top="0.56999999999999995" bottom="0.23" header="0.36" footer="0.17"/>
  <pageSetup paperSize="9" scale="49" fitToHeight="5" orientation="landscape" r:id="rId1"/>
  <headerFooter alignWithMargins="0">
    <oddHeader>&amp;C41</oddHeader>
    <oddFooter xml:space="preserve">&amp;C&amp;".VnTime,Italic"&amp;8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27"/>
  <sheetViews>
    <sheetView zoomScale="80" zoomScaleNormal="80" workbookViewId="0">
      <pane xSplit="2" ySplit="11" topLeftCell="C12" activePane="bottomRight" state="frozen"/>
      <selection activeCell="D18" sqref="D18"/>
      <selection pane="topRight" activeCell="D18" sqref="D18"/>
      <selection pane="bottomLeft" activeCell="D18" sqref="D18"/>
      <selection pane="bottomRight" activeCell="K17" sqref="K17"/>
    </sheetView>
  </sheetViews>
  <sheetFormatPr defaultRowHeight="15.75"/>
  <cols>
    <col min="1" max="1" width="7.140625" style="349" customWidth="1"/>
    <col min="2" max="2" width="19.85546875" style="368" customWidth="1"/>
    <col min="3" max="5" width="9.28515625" style="349" customWidth="1"/>
    <col min="6" max="12" width="9.7109375" style="349" customWidth="1"/>
    <col min="13" max="19" width="9.28515625" style="349" customWidth="1"/>
    <col min="20" max="256" width="9.140625" style="349"/>
    <col min="257" max="257" width="7.140625" style="349" customWidth="1"/>
    <col min="258" max="258" width="19.85546875" style="349" customWidth="1"/>
    <col min="259" max="261" width="9.28515625" style="349" customWidth="1"/>
    <col min="262" max="268" width="9.7109375" style="349" customWidth="1"/>
    <col min="269" max="275" width="9.28515625" style="349" customWidth="1"/>
    <col min="276" max="512" width="9.140625" style="349"/>
    <col min="513" max="513" width="7.140625" style="349" customWidth="1"/>
    <col min="514" max="514" width="19.85546875" style="349" customWidth="1"/>
    <col min="515" max="517" width="9.28515625" style="349" customWidth="1"/>
    <col min="518" max="524" width="9.7109375" style="349" customWidth="1"/>
    <col min="525" max="531" width="9.28515625" style="349" customWidth="1"/>
    <col min="532" max="768" width="9.140625" style="349"/>
    <col min="769" max="769" width="7.140625" style="349" customWidth="1"/>
    <col min="770" max="770" width="19.85546875" style="349" customWidth="1"/>
    <col min="771" max="773" width="9.28515625" style="349" customWidth="1"/>
    <col min="774" max="780" width="9.7109375" style="349" customWidth="1"/>
    <col min="781" max="787" width="9.28515625" style="349" customWidth="1"/>
    <col min="788" max="1024" width="9.140625" style="349"/>
    <col min="1025" max="1025" width="7.140625" style="349" customWidth="1"/>
    <col min="1026" max="1026" width="19.85546875" style="349" customWidth="1"/>
    <col min="1027" max="1029" width="9.28515625" style="349" customWidth="1"/>
    <col min="1030" max="1036" width="9.7109375" style="349" customWidth="1"/>
    <col min="1037" max="1043" width="9.28515625" style="349" customWidth="1"/>
    <col min="1044" max="1280" width="9.140625" style="349"/>
    <col min="1281" max="1281" width="7.140625" style="349" customWidth="1"/>
    <col min="1282" max="1282" width="19.85546875" style="349" customWidth="1"/>
    <col min="1283" max="1285" width="9.28515625" style="349" customWidth="1"/>
    <col min="1286" max="1292" width="9.7109375" style="349" customWidth="1"/>
    <col min="1293" max="1299" width="9.28515625" style="349" customWidth="1"/>
    <col min="1300" max="1536" width="9.140625" style="349"/>
    <col min="1537" max="1537" width="7.140625" style="349" customWidth="1"/>
    <col min="1538" max="1538" width="19.85546875" style="349" customWidth="1"/>
    <col min="1539" max="1541" width="9.28515625" style="349" customWidth="1"/>
    <col min="1542" max="1548" width="9.7109375" style="349" customWidth="1"/>
    <col min="1549" max="1555" width="9.28515625" style="349" customWidth="1"/>
    <col min="1556" max="1792" width="9.140625" style="349"/>
    <col min="1793" max="1793" width="7.140625" style="349" customWidth="1"/>
    <col min="1794" max="1794" width="19.85546875" style="349" customWidth="1"/>
    <col min="1795" max="1797" width="9.28515625" style="349" customWidth="1"/>
    <col min="1798" max="1804" width="9.7109375" style="349" customWidth="1"/>
    <col min="1805" max="1811" width="9.28515625" style="349" customWidth="1"/>
    <col min="1812" max="2048" width="9.140625" style="349"/>
    <col min="2049" max="2049" width="7.140625" style="349" customWidth="1"/>
    <col min="2050" max="2050" width="19.85546875" style="349" customWidth="1"/>
    <col min="2051" max="2053" width="9.28515625" style="349" customWidth="1"/>
    <col min="2054" max="2060" width="9.7109375" style="349" customWidth="1"/>
    <col min="2061" max="2067" width="9.28515625" style="349" customWidth="1"/>
    <col min="2068" max="2304" width="9.140625" style="349"/>
    <col min="2305" max="2305" width="7.140625" style="349" customWidth="1"/>
    <col min="2306" max="2306" width="19.85546875" style="349" customWidth="1"/>
    <col min="2307" max="2309" width="9.28515625" style="349" customWidth="1"/>
    <col min="2310" max="2316" width="9.7109375" style="349" customWidth="1"/>
    <col min="2317" max="2323" width="9.28515625" style="349" customWidth="1"/>
    <col min="2324" max="2560" width="9.140625" style="349"/>
    <col min="2561" max="2561" width="7.140625" style="349" customWidth="1"/>
    <col min="2562" max="2562" width="19.85546875" style="349" customWidth="1"/>
    <col min="2563" max="2565" width="9.28515625" style="349" customWidth="1"/>
    <col min="2566" max="2572" width="9.7109375" style="349" customWidth="1"/>
    <col min="2573" max="2579" width="9.28515625" style="349" customWidth="1"/>
    <col min="2580" max="2816" width="9.140625" style="349"/>
    <col min="2817" max="2817" width="7.140625" style="349" customWidth="1"/>
    <col min="2818" max="2818" width="19.85546875" style="349" customWidth="1"/>
    <col min="2819" max="2821" width="9.28515625" style="349" customWidth="1"/>
    <col min="2822" max="2828" width="9.7109375" style="349" customWidth="1"/>
    <col min="2829" max="2835" width="9.28515625" style="349" customWidth="1"/>
    <col min="2836" max="3072" width="9.140625" style="349"/>
    <col min="3073" max="3073" width="7.140625" style="349" customWidth="1"/>
    <col min="3074" max="3074" width="19.85546875" style="349" customWidth="1"/>
    <col min="3075" max="3077" width="9.28515625" style="349" customWidth="1"/>
    <col min="3078" max="3084" width="9.7109375" style="349" customWidth="1"/>
    <col min="3085" max="3091" width="9.28515625" style="349" customWidth="1"/>
    <col min="3092" max="3328" width="9.140625" style="349"/>
    <col min="3329" max="3329" width="7.140625" style="349" customWidth="1"/>
    <col min="3330" max="3330" width="19.85546875" style="349" customWidth="1"/>
    <col min="3331" max="3333" width="9.28515625" style="349" customWidth="1"/>
    <col min="3334" max="3340" width="9.7109375" style="349" customWidth="1"/>
    <col min="3341" max="3347" width="9.28515625" style="349" customWidth="1"/>
    <col min="3348" max="3584" width="9.140625" style="349"/>
    <col min="3585" max="3585" width="7.140625" style="349" customWidth="1"/>
    <col min="3586" max="3586" width="19.85546875" style="349" customWidth="1"/>
    <col min="3587" max="3589" width="9.28515625" style="349" customWidth="1"/>
    <col min="3590" max="3596" width="9.7109375" style="349" customWidth="1"/>
    <col min="3597" max="3603" width="9.28515625" style="349" customWidth="1"/>
    <col min="3604" max="3840" width="9.140625" style="349"/>
    <col min="3841" max="3841" width="7.140625" style="349" customWidth="1"/>
    <col min="3842" max="3842" width="19.85546875" style="349" customWidth="1"/>
    <col min="3843" max="3845" width="9.28515625" style="349" customWidth="1"/>
    <col min="3846" max="3852" width="9.7109375" style="349" customWidth="1"/>
    <col min="3853" max="3859" width="9.28515625" style="349" customWidth="1"/>
    <col min="3860" max="4096" width="9.140625" style="349"/>
    <col min="4097" max="4097" width="7.140625" style="349" customWidth="1"/>
    <col min="4098" max="4098" width="19.85546875" style="349" customWidth="1"/>
    <col min="4099" max="4101" width="9.28515625" style="349" customWidth="1"/>
    <col min="4102" max="4108" width="9.7109375" style="349" customWidth="1"/>
    <col min="4109" max="4115" width="9.28515625" style="349" customWidth="1"/>
    <col min="4116" max="4352" width="9.140625" style="349"/>
    <col min="4353" max="4353" width="7.140625" style="349" customWidth="1"/>
    <col min="4354" max="4354" width="19.85546875" style="349" customWidth="1"/>
    <col min="4355" max="4357" width="9.28515625" style="349" customWidth="1"/>
    <col min="4358" max="4364" width="9.7109375" style="349" customWidth="1"/>
    <col min="4365" max="4371" width="9.28515625" style="349" customWidth="1"/>
    <col min="4372" max="4608" width="9.140625" style="349"/>
    <col min="4609" max="4609" width="7.140625" style="349" customWidth="1"/>
    <col min="4610" max="4610" width="19.85546875" style="349" customWidth="1"/>
    <col min="4611" max="4613" width="9.28515625" style="349" customWidth="1"/>
    <col min="4614" max="4620" width="9.7109375" style="349" customWidth="1"/>
    <col min="4621" max="4627" width="9.28515625" style="349" customWidth="1"/>
    <col min="4628" max="4864" width="9.140625" style="349"/>
    <col min="4865" max="4865" width="7.140625" style="349" customWidth="1"/>
    <col min="4866" max="4866" width="19.85546875" style="349" customWidth="1"/>
    <col min="4867" max="4869" width="9.28515625" style="349" customWidth="1"/>
    <col min="4870" max="4876" width="9.7109375" style="349" customWidth="1"/>
    <col min="4877" max="4883" width="9.28515625" style="349" customWidth="1"/>
    <col min="4884" max="5120" width="9.140625" style="349"/>
    <col min="5121" max="5121" width="7.140625" style="349" customWidth="1"/>
    <col min="5122" max="5122" width="19.85546875" style="349" customWidth="1"/>
    <col min="5123" max="5125" width="9.28515625" style="349" customWidth="1"/>
    <col min="5126" max="5132" width="9.7109375" style="349" customWidth="1"/>
    <col min="5133" max="5139" width="9.28515625" style="349" customWidth="1"/>
    <col min="5140" max="5376" width="9.140625" style="349"/>
    <col min="5377" max="5377" width="7.140625" style="349" customWidth="1"/>
    <col min="5378" max="5378" width="19.85546875" style="349" customWidth="1"/>
    <col min="5379" max="5381" width="9.28515625" style="349" customWidth="1"/>
    <col min="5382" max="5388" width="9.7109375" style="349" customWidth="1"/>
    <col min="5389" max="5395" width="9.28515625" style="349" customWidth="1"/>
    <col min="5396" max="5632" width="9.140625" style="349"/>
    <col min="5633" max="5633" width="7.140625" style="349" customWidth="1"/>
    <col min="5634" max="5634" width="19.85546875" style="349" customWidth="1"/>
    <col min="5635" max="5637" width="9.28515625" style="349" customWidth="1"/>
    <col min="5638" max="5644" width="9.7109375" style="349" customWidth="1"/>
    <col min="5645" max="5651" width="9.28515625" style="349" customWidth="1"/>
    <col min="5652" max="5888" width="9.140625" style="349"/>
    <col min="5889" max="5889" width="7.140625" style="349" customWidth="1"/>
    <col min="5890" max="5890" width="19.85546875" style="349" customWidth="1"/>
    <col min="5891" max="5893" width="9.28515625" style="349" customWidth="1"/>
    <col min="5894" max="5900" width="9.7109375" style="349" customWidth="1"/>
    <col min="5901" max="5907" width="9.28515625" style="349" customWidth="1"/>
    <col min="5908" max="6144" width="9.140625" style="349"/>
    <col min="6145" max="6145" width="7.140625" style="349" customWidth="1"/>
    <col min="6146" max="6146" width="19.85546875" style="349" customWidth="1"/>
    <col min="6147" max="6149" width="9.28515625" style="349" customWidth="1"/>
    <col min="6150" max="6156" width="9.7109375" style="349" customWidth="1"/>
    <col min="6157" max="6163" width="9.28515625" style="349" customWidth="1"/>
    <col min="6164" max="6400" width="9.140625" style="349"/>
    <col min="6401" max="6401" width="7.140625" style="349" customWidth="1"/>
    <col min="6402" max="6402" width="19.85546875" style="349" customWidth="1"/>
    <col min="6403" max="6405" width="9.28515625" style="349" customWidth="1"/>
    <col min="6406" max="6412" width="9.7109375" style="349" customWidth="1"/>
    <col min="6413" max="6419" width="9.28515625" style="349" customWidth="1"/>
    <col min="6420" max="6656" width="9.140625" style="349"/>
    <col min="6657" max="6657" width="7.140625" style="349" customWidth="1"/>
    <col min="6658" max="6658" width="19.85546875" style="349" customWidth="1"/>
    <col min="6659" max="6661" width="9.28515625" style="349" customWidth="1"/>
    <col min="6662" max="6668" width="9.7109375" style="349" customWidth="1"/>
    <col min="6669" max="6675" width="9.28515625" style="349" customWidth="1"/>
    <col min="6676" max="6912" width="9.140625" style="349"/>
    <col min="6913" max="6913" width="7.140625" style="349" customWidth="1"/>
    <col min="6914" max="6914" width="19.85546875" style="349" customWidth="1"/>
    <col min="6915" max="6917" width="9.28515625" style="349" customWidth="1"/>
    <col min="6918" max="6924" width="9.7109375" style="349" customWidth="1"/>
    <col min="6925" max="6931" width="9.28515625" style="349" customWidth="1"/>
    <col min="6932" max="7168" width="9.140625" style="349"/>
    <col min="7169" max="7169" width="7.140625" style="349" customWidth="1"/>
    <col min="7170" max="7170" width="19.85546875" style="349" customWidth="1"/>
    <col min="7171" max="7173" width="9.28515625" style="349" customWidth="1"/>
    <col min="7174" max="7180" width="9.7109375" style="349" customWidth="1"/>
    <col min="7181" max="7187" width="9.28515625" style="349" customWidth="1"/>
    <col min="7188" max="7424" width="9.140625" style="349"/>
    <col min="7425" max="7425" width="7.140625" style="349" customWidth="1"/>
    <col min="7426" max="7426" width="19.85546875" style="349" customWidth="1"/>
    <col min="7427" max="7429" width="9.28515625" style="349" customWidth="1"/>
    <col min="7430" max="7436" width="9.7109375" style="349" customWidth="1"/>
    <col min="7437" max="7443" width="9.28515625" style="349" customWidth="1"/>
    <col min="7444" max="7680" width="9.140625" style="349"/>
    <col min="7681" max="7681" width="7.140625" style="349" customWidth="1"/>
    <col min="7682" max="7682" width="19.85546875" style="349" customWidth="1"/>
    <col min="7683" max="7685" width="9.28515625" style="349" customWidth="1"/>
    <col min="7686" max="7692" width="9.7109375" style="349" customWidth="1"/>
    <col min="7693" max="7699" width="9.28515625" style="349" customWidth="1"/>
    <col min="7700" max="7936" width="9.140625" style="349"/>
    <col min="7937" max="7937" width="7.140625" style="349" customWidth="1"/>
    <col min="7938" max="7938" width="19.85546875" style="349" customWidth="1"/>
    <col min="7939" max="7941" width="9.28515625" style="349" customWidth="1"/>
    <col min="7942" max="7948" width="9.7109375" style="349" customWidth="1"/>
    <col min="7949" max="7955" width="9.28515625" style="349" customWidth="1"/>
    <col min="7956" max="8192" width="9.140625" style="349"/>
    <col min="8193" max="8193" width="7.140625" style="349" customWidth="1"/>
    <col min="8194" max="8194" width="19.85546875" style="349" customWidth="1"/>
    <col min="8195" max="8197" width="9.28515625" style="349" customWidth="1"/>
    <col min="8198" max="8204" width="9.7109375" style="349" customWidth="1"/>
    <col min="8205" max="8211" width="9.28515625" style="349" customWidth="1"/>
    <col min="8212" max="8448" width="9.140625" style="349"/>
    <col min="8449" max="8449" width="7.140625" style="349" customWidth="1"/>
    <col min="8450" max="8450" width="19.85546875" style="349" customWidth="1"/>
    <col min="8451" max="8453" width="9.28515625" style="349" customWidth="1"/>
    <col min="8454" max="8460" width="9.7109375" style="349" customWidth="1"/>
    <col min="8461" max="8467" width="9.28515625" style="349" customWidth="1"/>
    <col min="8468" max="8704" width="9.140625" style="349"/>
    <col min="8705" max="8705" width="7.140625" style="349" customWidth="1"/>
    <col min="8706" max="8706" width="19.85546875" style="349" customWidth="1"/>
    <col min="8707" max="8709" width="9.28515625" style="349" customWidth="1"/>
    <col min="8710" max="8716" width="9.7109375" style="349" customWidth="1"/>
    <col min="8717" max="8723" width="9.28515625" style="349" customWidth="1"/>
    <col min="8724" max="8960" width="9.140625" style="349"/>
    <col min="8961" max="8961" width="7.140625" style="349" customWidth="1"/>
    <col min="8962" max="8962" width="19.85546875" style="349" customWidth="1"/>
    <col min="8963" max="8965" width="9.28515625" style="349" customWidth="1"/>
    <col min="8966" max="8972" width="9.7109375" style="349" customWidth="1"/>
    <col min="8973" max="8979" width="9.28515625" style="349" customWidth="1"/>
    <col min="8980" max="9216" width="9.140625" style="349"/>
    <col min="9217" max="9217" width="7.140625" style="349" customWidth="1"/>
    <col min="9218" max="9218" width="19.85546875" style="349" customWidth="1"/>
    <col min="9219" max="9221" width="9.28515625" style="349" customWidth="1"/>
    <col min="9222" max="9228" width="9.7109375" style="349" customWidth="1"/>
    <col min="9229" max="9235" width="9.28515625" style="349" customWidth="1"/>
    <col min="9236" max="9472" width="9.140625" style="349"/>
    <col min="9473" max="9473" width="7.140625" style="349" customWidth="1"/>
    <col min="9474" max="9474" width="19.85546875" style="349" customWidth="1"/>
    <col min="9475" max="9477" width="9.28515625" style="349" customWidth="1"/>
    <col min="9478" max="9484" width="9.7109375" style="349" customWidth="1"/>
    <col min="9485" max="9491" width="9.28515625" style="349" customWidth="1"/>
    <col min="9492" max="9728" width="9.140625" style="349"/>
    <col min="9729" max="9729" width="7.140625" style="349" customWidth="1"/>
    <col min="9730" max="9730" width="19.85546875" style="349" customWidth="1"/>
    <col min="9731" max="9733" width="9.28515625" style="349" customWidth="1"/>
    <col min="9734" max="9740" width="9.7109375" style="349" customWidth="1"/>
    <col min="9741" max="9747" width="9.28515625" style="349" customWidth="1"/>
    <col min="9748" max="9984" width="9.140625" style="349"/>
    <col min="9985" max="9985" width="7.140625" style="349" customWidth="1"/>
    <col min="9986" max="9986" width="19.85546875" style="349" customWidth="1"/>
    <col min="9987" max="9989" width="9.28515625" style="349" customWidth="1"/>
    <col min="9990" max="9996" width="9.7109375" style="349" customWidth="1"/>
    <col min="9997" max="10003" width="9.28515625" style="349" customWidth="1"/>
    <col min="10004" max="10240" width="9.140625" style="349"/>
    <col min="10241" max="10241" width="7.140625" style="349" customWidth="1"/>
    <col min="10242" max="10242" width="19.85546875" style="349" customWidth="1"/>
    <col min="10243" max="10245" width="9.28515625" style="349" customWidth="1"/>
    <col min="10246" max="10252" width="9.7109375" style="349" customWidth="1"/>
    <col min="10253" max="10259" width="9.28515625" style="349" customWidth="1"/>
    <col min="10260" max="10496" width="9.140625" style="349"/>
    <col min="10497" max="10497" width="7.140625" style="349" customWidth="1"/>
    <col min="10498" max="10498" width="19.85546875" style="349" customWidth="1"/>
    <col min="10499" max="10501" width="9.28515625" style="349" customWidth="1"/>
    <col min="10502" max="10508" width="9.7109375" style="349" customWidth="1"/>
    <col min="10509" max="10515" width="9.28515625" style="349" customWidth="1"/>
    <col min="10516" max="10752" width="9.140625" style="349"/>
    <col min="10753" max="10753" width="7.140625" style="349" customWidth="1"/>
    <col min="10754" max="10754" width="19.85546875" style="349" customWidth="1"/>
    <col min="10755" max="10757" width="9.28515625" style="349" customWidth="1"/>
    <col min="10758" max="10764" width="9.7109375" style="349" customWidth="1"/>
    <col min="10765" max="10771" width="9.28515625" style="349" customWidth="1"/>
    <col min="10772" max="11008" width="9.140625" style="349"/>
    <col min="11009" max="11009" width="7.140625" style="349" customWidth="1"/>
    <col min="11010" max="11010" width="19.85546875" style="349" customWidth="1"/>
    <col min="11011" max="11013" width="9.28515625" style="349" customWidth="1"/>
    <col min="11014" max="11020" width="9.7109375" style="349" customWidth="1"/>
    <col min="11021" max="11027" width="9.28515625" style="349" customWidth="1"/>
    <col min="11028" max="11264" width="9.140625" style="349"/>
    <col min="11265" max="11265" width="7.140625" style="349" customWidth="1"/>
    <col min="11266" max="11266" width="19.85546875" style="349" customWidth="1"/>
    <col min="11267" max="11269" width="9.28515625" style="349" customWidth="1"/>
    <col min="11270" max="11276" width="9.7109375" style="349" customWidth="1"/>
    <col min="11277" max="11283" width="9.28515625" style="349" customWidth="1"/>
    <col min="11284" max="11520" width="9.140625" style="349"/>
    <col min="11521" max="11521" width="7.140625" style="349" customWidth="1"/>
    <col min="11522" max="11522" width="19.85546875" style="349" customWidth="1"/>
    <col min="11523" max="11525" width="9.28515625" style="349" customWidth="1"/>
    <col min="11526" max="11532" width="9.7109375" style="349" customWidth="1"/>
    <col min="11533" max="11539" width="9.28515625" style="349" customWidth="1"/>
    <col min="11540" max="11776" width="9.140625" style="349"/>
    <col min="11777" max="11777" width="7.140625" style="349" customWidth="1"/>
    <col min="11778" max="11778" width="19.85546875" style="349" customWidth="1"/>
    <col min="11779" max="11781" width="9.28515625" style="349" customWidth="1"/>
    <col min="11782" max="11788" width="9.7109375" style="349" customWidth="1"/>
    <col min="11789" max="11795" width="9.28515625" style="349" customWidth="1"/>
    <col min="11796" max="12032" width="9.140625" style="349"/>
    <col min="12033" max="12033" width="7.140625" style="349" customWidth="1"/>
    <col min="12034" max="12034" width="19.85546875" style="349" customWidth="1"/>
    <col min="12035" max="12037" width="9.28515625" style="349" customWidth="1"/>
    <col min="12038" max="12044" width="9.7109375" style="349" customWidth="1"/>
    <col min="12045" max="12051" width="9.28515625" style="349" customWidth="1"/>
    <col min="12052" max="12288" width="9.140625" style="349"/>
    <col min="12289" max="12289" width="7.140625" style="349" customWidth="1"/>
    <col min="12290" max="12290" width="19.85546875" style="349" customWidth="1"/>
    <col min="12291" max="12293" width="9.28515625" style="349" customWidth="1"/>
    <col min="12294" max="12300" width="9.7109375" style="349" customWidth="1"/>
    <col min="12301" max="12307" width="9.28515625" style="349" customWidth="1"/>
    <col min="12308" max="12544" width="9.140625" style="349"/>
    <col min="12545" max="12545" width="7.140625" style="349" customWidth="1"/>
    <col min="12546" max="12546" width="19.85546875" style="349" customWidth="1"/>
    <col min="12547" max="12549" width="9.28515625" style="349" customWidth="1"/>
    <col min="12550" max="12556" width="9.7109375" style="349" customWidth="1"/>
    <col min="12557" max="12563" width="9.28515625" style="349" customWidth="1"/>
    <col min="12564" max="12800" width="9.140625" style="349"/>
    <col min="12801" max="12801" width="7.140625" style="349" customWidth="1"/>
    <col min="12802" max="12802" width="19.85546875" style="349" customWidth="1"/>
    <col min="12803" max="12805" width="9.28515625" style="349" customWidth="1"/>
    <col min="12806" max="12812" width="9.7109375" style="349" customWidth="1"/>
    <col min="12813" max="12819" width="9.28515625" style="349" customWidth="1"/>
    <col min="12820" max="13056" width="9.140625" style="349"/>
    <col min="13057" max="13057" width="7.140625" style="349" customWidth="1"/>
    <col min="13058" max="13058" width="19.85546875" style="349" customWidth="1"/>
    <col min="13059" max="13061" width="9.28515625" style="349" customWidth="1"/>
    <col min="13062" max="13068" width="9.7109375" style="349" customWidth="1"/>
    <col min="13069" max="13075" width="9.28515625" style="349" customWidth="1"/>
    <col min="13076" max="13312" width="9.140625" style="349"/>
    <col min="13313" max="13313" width="7.140625" style="349" customWidth="1"/>
    <col min="13314" max="13314" width="19.85546875" style="349" customWidth="1"/>
    <col min="13315" max="13317" width="9.28515625" style="349" customWidth="1"/>
    <col min="13318" max="13324" width="9.7109375" style="349" customWidth="1"/>
    <col min="13325" max="13331" width="9.28515625" style="349" customWidth="1"/>
    <col min="13332" max="13568" width="9.140625" style="349"/>
    <col min="13569" max="13569" width="7.140625" style="349" customWidth="1"/>
    <col min="13570" max="13570" width="19.85546875" style="349" customWidth="1"/>
    <col min="13571" max="13573" width="9.28515625" style="349" customWidth="1"/>
    <col min="13574" max="13580" width="9.7109375" style="349" customWidth="1"/>
    <col min="13581" max="13587" width="9.28515625" style="349" customWidth="1"/>
    <col min="13588" max="13824" width="9.140625" style="349"/>
    <col min="13825" max="13825" width="7.140625" style="349" customWidth="1"/>
    <col min="13826" max="13826" width="19.85546875" style="349" customWidth="1"/>
    <col min="13827" max="13829" width="9.28515625" style="349" customWidth="1"/>
    <col min="13830" max="13836" width="9.7109375" style="349" customWidth="1"/>
    <col min="13837" max="13843" width="9.28515625" style="349" customWidth="1"/>
    <col min="13844" max="14080" width="9.140625" style="349"/>
    <col min="14081" max="14081" width="7.140625" style="349" customWidth="1"/>
    <col min="14082" max="14082" width="19.85546875" style="349" customWidth="1"/>
    <col min="14083" max="14085" width="9.28515625" style="349" customWidth="1"/>
    <col min="14086" max="14092" width="9.7109375" style="349" customWidth="1"/>
    <col min="14093" max="14099" width="9.28515625" style="349" customWidth="1"/>
    <col min="14100" max="14336" width="9.140625" style="349"/>
    <col min="14337" max="14337" width="7.140625" style="349" customWidth="1"/>
    <col min="14338" max="14338" width="19.85546875" style="349" customWidth="1"/>
    <col min="14339" max="14341" width="9.28515625" style="349" customWidth="1"/>
    <col min="14342" max="14348" width="9.7109375" style="349" customWidth="1"/>
    <col min="14349" max="14355" width="9.28515625" style="349" customWidth="1"/>
    <col min="14356" max="14592" width="9.140625" style="349"/>
    <col min="14593" max="14593" width="7.140625" style="349" customWidth="1"/>
    <col min="14594" max="14594" width="19.85546875" style="349" customWidth="1"/>
    <col min="14595" max="14597" width="9.28515625" style="349" customWidth="1"/>
    <col min="14598" max="14604" width="9.7109375" style="349" customWidth="1"/>
    <col min="14605" max="14611" width="9.28515625" style="349" customWidth="1"/>
    <col min="14612" max="14848" width="9.140625" style="349"/>
    <col min="14849" max="14849" width="7.140625" style="349" customWidth="1"/>
    <col min="14850" max="14850" width="19.85546875" style="349" customWidth="1"/>
    <col min="14851" max="14853" width="9.28515625" style="349" customWidth="1"/>
    <col min="14854" max="14860" width="9.7109375" style="349" customWidth="1"/>
    <col min="14861" max="14867" width="9.28515625" style="349" customWidth="1"/>
    <col min="14868" max="15104" width="9.140625" style="349"/>
    <col min="15105" max="15105" width="7.140625" style="349" customWidth="1"/>
    <col min="15106" max="15106" width="19.85546875" style="349" customWidth="1"/>
    <col min="15107" max="15109" width="9.28515625" style="349" customWidth="1"/>
    <col min="15110" max="15116" width="9.7109375" style="349" customWidth="1"/>
    <col min="15117" max="15123" width="9.28515625" style="349" customWidth="1"/>
    <col min="15124" max="15360" width="9.140625" style="349"/>
    <col min="15361" max="15361" width="7.140625" style="349" customWidth="1"/>
    <col min="15362" max="15362" width="19.85546875" style="349" customWidth="1"/>
    <col min="15363" max="15365" width="9.28515625" style="349" customWidth="1"/>
    <col min="15366" max="15372" width="9.7109375" style="349" customWidth="1"/>
    <col min="15373" max="15379" width="9.28515625" style="349" customWidth="1"/>
    <col min="15380" max="15616" width="9.140625" style="349"/>
    <col min="15617" max="15617" width="7.140625" style="349" customWidth="1"/>
    <col min="15618" max="15618" width="19.85546875" style="349" customWidth="1"/>
    <col min="15619" max="15621" width="9.28515625" style="349" customWidth="1"/>
    <col min="15622" max="15628" width="9.7109375" style="349" customWidth="1"/>
    <col min="15629" max="15635" width="9.28515625" style="349" customWidth="1"/>
    <col min="15636" max="15872" width="9.140625" style="349"/>
    <col min="15873" max="15873" width="7.140625" style="349" customWidth="1"/>
    <col min="15874" max="15874" width="19.85546875" style="349" customWidth="1"/>
    <col min="15875" max="15877" width="9.28515625" style="349" customWidth="1"/>
    <col min="15878" max="15884" width="9.7109375" style="349" customWidth="1"/>
    <col min="15885" max="15891" width="9.28515625" style="349" customWidth="1"/>
    <col min="15892" max="16128" width="9.140625" style="349"/>
    <col min="16129" max="16129" width="7.140625" style="349" customWidth="1"/>
    <col min="16130" max="16130" width="19.85546875" style="349" customWidth="1"/>
    <col min="16131" max="16133" width="9.28515625" style="349" customWidth="1"/>
    <col min="16134" max="16140" width="9.7109375" style="349" customWidth="1"/>
    <col min="16141" max="16147" width="9.28515625" style="349" customWidth="1"/>
    <col min="16148" max="16384" width="9.140625" style="349"/>
  </cols>
  <sheetData>
    <row r="1" spans="1:20" ht="21" customHeight="1">
      <c r="A1" s="344"/>
      <c r="B1" s="345"/>
      <c r="C1" s="346"/>
      <c r="D1" s="346"/>
      <c r="E1" s="346"/>
      <c r="F1" s="346"/>
      <c r="G1" s="346"/>
      <c r="H1" s="346"/>
      <c r="I1" s="346"/>
      <c r="J1" s="347"/>
      <c r="K1" s="347"/>
      <c r="L1" s="346"/>
      <c r="M1" s="1197" t="s">
        <v>984</v>
      </c>
      <c r="N1" s="1197"/>
      <c r="O1" s="1197"/>
      <c r="P1" s="1197"/>
      <c r="Q1" s="1197"/>
      <c r="R1" s="1197"/>
      <c r="S1" s="1197"/>
    </row>
    <row r="2" spans="1:20" ht="21" customHeight="1">
      <c r="A2" s="1198" t="s">
        <v>1003</v>
      </c>
      <c r="B2" s="1198"/>
      <c r="C2" s="1198"/>
      <c r="D2" s="1198"/>
      <c r="E2" s="1198"/>
      <c r="F2" s="1198"/>
      <c r="G2" s="1198"/>
      <c r="H2" s="1198"/>
      <c r="I2" s="1198"/>
      <c r="J2" s="1198"/>
      <c r="K2" s="1198"/>
      <c r="L2" s="1198"/>
      <c r="M2" s="1198"/>
      <c r="N2" s="1198"/>
      <c r="O2" s="1198"/>
      <c r="P2" s="1198"/>
      <c r="Q2" s="1198"/>
      <c r="R2" s="1198"/>
      <c r="S2" s="1198"/>
    </row>
    <row r="3" spans="1:20" ht="21" customHeight="1">
      <c r="A3" s="1199" t="s">
        <v>460</v>
      </c>
      <c r="B3" s="1199"/>
      <c r="C3" s="1199"/>
      <c r="D3" s="1199"/>
      <c r="E3" s="1199"/>
      <c r="F3" s="1199"/>
      <c r="G3" s="1199"/>
      <c r="H3" s="1199"/>
      <c r="I3" s="1199"/>
      <c r="J3" s="1199"/>
      <c r="K3" s="1199"/>
      <c r="L3" s="1199"/>
      <c r="M3" s="1199"/>
      <c r="N3" s="1199"/>
      <c r="O3" s="1199"/>
      <c r="P3" s="1199"/>
      <c r="Q3" s="1199"/>
      <c r="R3" s="1199"/>
      <c r="S3" s="1199"/>
      <c r="T3" s="350"/>
    </row>
    <row r="4" spans="1:20" ht="19.5" customHeight="1">
      <c r="A4" s="351"/>
      <c r="B4" s="352"/>
      <c r="C4" s="353"/>
      <c r="D4" s="353"/>
      <c r="E4" s="353"/>
      <c r="F4" s="353"/>
      <c r="G4" s="353"/>
      <c r="H4" s="353"/>
      <c r="I4" s="353"/>
      <c r="J4" s="354"/>
      <c r="K4" s="1148"/>
      <c r="L4" s="1148"/>
      <c r="M4" s="1200" t="s">
        <v>2</v>
      </c>
      <c r="N4" s="1200"/>
      <c r="O4" s="1200"/>
      <c r="P4" s="1200"/>
      <c r="Q4" s="1200"/>
      <c r="R4" s="1200"/>
      <c r="S4" s="1200"/>
    </row>
    <row r="5" spans="1:20" s="301" customFormat="1" ht="28.5" customHeight="1">
      <c r="A5" s="1202" t="s">
        <v>3</v>
      </c>
      <c r="B5" s="1202" t="s">
        <v>985</v>
      </c>
      <c r="C5" s="1202" t="s">
        <v>89</v>
      </c>
      <c r="D5" s="1202" t="s">
        <v>40</v>
      </c>
      <c r="E5" s="1202"/>
      <c r="F5" s="1201" t="s">
        <v>986</v>
      </c>
      <c r="G5" s="1201"/>
      <c r="H5" s="1201"/>
      <c r="I5" s="1201"/>
      <c r="J5" s="1201"/>
      <c r="K5" s="1201"/>
      <c r="L5" s="1201"/>
      <c r="M5" s="1201" t="s">
        <v>986</v>
      </c>
      <c r="N5" s="1201"/>
      <c r="O5" s="1201"/>
      <c r="P5" s="1201"/>
      <c r="Q5" s="1201"/>
      <c r="R5" s="1201"/>
      <c r="S5" s="1201"/>
    </row>
    <row r="6" spans="1:20" s="301" customFormat="1" ht="28.5" customHeight="1">
      <c r="A6" s="1202"/>
      <c r="B6" s="1202"/>
      <c r="C6" s="1202"/>
      <c r="D6" s="1202" t="s">
        <v>987</v>
      </c>
      <c r="E6" s="1202" t="s">
        <v>988</v>
      </c>
      <c r="F6" s="1202" t="s">
        <v>989</v>
      </c>
      <c r="G6" s="1201" t="s">
        <v>987</v>
      </c>
      <c r="H6" s="1201"/>
      <c r="I6" s="1201"/>
      <c r="J6" s="1201" t="s">
        <v>988</v>
      </c>
      <c r="K6" s="1201"/>
      <c r="L6" s="1201"/>
      <c r="M6" s="1202" t="s">
        <v>989</v>
      </c>
      <c r="N6" s="1201" t="s">
        <v>987</v>
      </c>
      <c r="O6" s="1201"/>
      <c r="P6" s="1201"/>
      <c r="Q6" s="1201" t="s">
        <v>988</v>
      </c>
      <c r="R6" s="1201"/>
      <c r="S6" s="1201"/>
    </row>
    <row r="7" spans="1:20" s="301" customFormat="1" ht="22.5" customHeight="1">
      <c r="A7" s="1202"/>
      <c r="B7" s="1202"/>
      <c r="C7" s="1202"/>
      <c r="D7" s="1202"/>
      <c r="E7" s="1202"/>
      <c r="F7" s="1202"/>
      <c r="G7" s="1202" t="s">
        <v>89</v>
      </c>
      <c r="H7" s="1202" t="s">
        <v>990</v>
      </c>
      <c r="I7" s="1202" t="s">
        <v>991</v>
      </c>
      <c r="J7" s="1202" t="s">
        <v>89</v>
      </c>
      <c r="K7" s="1202" t="s">
        <v>990</v>
      </c>
      <c r="L7" s="1202" t="s">
        <v>991</v>
      </c>
      <c r="M7" s="1202"/>
      <c r="N7" s="1202" t="s">
        <v>89</v>
      </c>
      <c r="O7" s="1202" t="s">
        <v>990</v>
      </c>
      <c r="P7" s="1202" t="s">
        <v>991</v>
      </c>
      <c r="Q7" s="1202" t="s">
        <v>89</v>
      </c>
      <c r="R7" s="1202" t="s">
        <v>990</v>
      </c>
      <c r="S7" s="1202" t="s">
        <v>991</v>
      </c>
    </row>
    <row r="8" spans="1:20" s="301" customFormat="1" ht="22.5" customHeight="1">
      <c r="A8" s="1202"/>
      <c r="B8" s="1202"/>
      <c r="C8" s="1202"/>
      <c r="D8" s="1202"/>
      <c r="E8" s="1202"/>
      <c r="F8" s="1202"/>
      <c r="G8" s="1202"/>
      <c r="H8" s="1202"/>
      <c r="I8" s="1202"/>
      <c r="J8" s="1202"/>
      <c r="K8" s="1202"/>
      <c r="L8" s="1202"/>
      <c r="M8" s="1202"/>
      <c r="N8" s="1202"/>
      <c r="O8" s="1202"/>
      <c r="P8" s="1202"/>
      <c r="Q8" s="1202"/>
      <c r="R8" s="1202"/>
      <c r="S8" s="1202"/>
    </row>
    <row r="9" spans="1:20" s="301" customFormat="1" ht="22.5" customHeight="1">
      <c r="A9" s="1202"/>
      <c r="B9" s="1202"/>
      <c r="C9" s="1202"/>
      <c r="D9" s="1202"/>
      <c r="E9" s="1202"/>
      <c r="F9" s="1202"/>
      <c r="G9" s="1202"/>
      <c r="H9" s="1202"/>
      <c r="I9" s="1202"/>
      <c r="J9" s="1202"/>
      <c r="K9" s="1202"/>
      <c r="L9" s="1202"/>
      <c r="M9" s="1202"/>
      <c r="N9" s="1202"/>
      <c r="O9" s="1202"/>
      <c r="P9" s="1202"/>
      <c r="Q9" s="1202"/>
      <c r="R9" s="1202"/>
      <c r="S9" s="1202"/>
    </row>
    <row r="10" spans="1:20" s="358" customFormat="1" ht="17.25" customHeight="1">
      <c r="A10" s="355" t="s">
        <v>10</v>
      </c>
      <c r="B10" s="356" t="s">
        <v>11</v>
      </c>
      <c r="C10" s="355" t="s">
        <v>350</v>
      </c>
      <c r="D10" s="355" t="s">
        <v>992</v>
      </c>
      <c r="E10" s="355" t="s">
        <v>993</v>
      </c>
      <c r="F10" s="355" t="s">
        <v>994</v>
      </c>
      <c r="G10" s="355" t="s">
        <v>995</v>
      </c>
      <c r="H10" s="355">
        <v>6</v>
      </c>
      <c r="I10" s="355">
        <f>H10+1</f>
        <v>7</v>
      </c>
      <c r="J10" s="355" t="s">
        <v>996</v>
      </c>
      <c r="K10" s="355">
        <v>9</v>
      </c>
      <c r="L10" s="355">
        <f>K10+1</f>
        <v>10</v>
      </c>
      <c r="M10" s="357" t="s">
        <v>997</v>
      </c>
      <c r="N10" s="357" t="s">
        <v>998</v>
      </c>
      <c r="O10" s="355">
        <v>13</v>
      </c>
      <c r="P10" s="355">
        <f>O10+1</f>
        <v>14</v>
      </c>
      <c r="Q10" s="357" t="s">
        <v>999</v>
      </c>
      <c r="R10" s="355">
        <v>16</v>
      </c>
      <c r="S10" s="355">
        <f>R10+1</f>
        <v>17</v>
      </c>
    </row>
    <row r="11" spans="1:20" s="353" customFormat="1" ht="24.75" customHeight="1">
      <c r="A11" s="359"/>
      <c r="B11" s="360"/>
      <c r="C11" s="361"/>
      <c r="D11" s="361"/>
      <c r="E11" s="361"/>
      <c r="F11" s="361"/>
      <c r="G11" s="361"/>
      <c r="H11" s="361"/>
      <c r="I11" s="361"/>
      <c r="J11" s="361"/>
      <c r="K11" s="361"/>
      <c r="L11" s="361"/>
      <c r="M11" s="361"/>
      <c r="N11" s="361"/>
      <c r="O11" s="361"/>
      <c r="P11" s="361"/>
      <c r="Q11" s="361"/>
      <c r="R11" s="361"/>
      <c r="S11" s="362"/>
    </row>
    <row r="12" spans="1:20" ht="17.25" customHeight="1" thickBot="1">
      <c r="A12" s="363"/>
      <c r="B12" s="364"/>
      <c r="C12" s="365"/>
      <c r="D12" s="365"/>
      <c r="E12" s="365"/>
      <c r="F12" s="365"/>
      <c r="G12" s="365"/>
      <c r="H12" s="365"/>
      <c r="I12" s="365"/>
      <c r="J12" s="365"/>
      <c r="K12" s="365"/>
      <c r="L12" s="365"/>
      <c r="M12" s="365"/>
      <c r="N12" s="365"/>
      <c r="O12" s="365"/>
      <c r="P12" s="365"/>
      <c r="Q12" s="365"/>
      <c r="R12" s="365"/>
      <c r="S12" s="366"/>
    </row>
    <row r="13" spans="1:20" ht="44.25" customHeight="1">
      <c r="A13" s="1204" t="s">
        <v>1000</v>
      </c>
      <c r="B13" s="1204"/>
      <c r="C13" s="1204"/>
      <c r="D13" s="1204"/>
      <c r="E13" s="1204"/>
      <c r="F13" s="1204"/>
      <c r="G13" s="1204"/>
      <c r="H13" s="1204"/>
      <c r="I13" s="1204"/>
      <c r="J13" s="1204"/>
      <c r="K13" s="1204"/>
      <c r="L13" s="1204"/>
      <c r="M13" s="1204"/>
      <c r="N13" s="1204"/>
      <c r="O13" s="1204"/>
      <c r="P13" s="1204"/>
      <c r="Q13" s="1204"/>
      <c r="R13" s="1204"/>
      <c r="S13" s="1204"/>
    </row>
    <row r="14" spans="1:20" ht="41.25" customHeight="1">
      <c r="A14" s="367" t="s">
        <v>1001</v>
      </c>
      <c r="B14" s="1203" t="s">
        <v>1002</v>
      </c>
      <c r="C14" s="1203"/>
      <c r="D14" s="1203"/>
      <c r="E14" s="1203"/>
      <c r="F14" s="1203"/>
      <c r="G14" s="1203"/>
      <c r="H14" s="1203"/>
      <c r="I14" s="1203"/>
      <c r="J14" s="1203"/>
      <c r="K14" s="1203"/>
      <c r="L14" s="1203"/>
      <c r="M14" s="1203"/>
      <c r="N14" s="1203"/>
      <c r="O14" s="1203"/>
      <c r="P14" s="1203"/>
      <c r="Q14" s="1203"/>
      <c r="R14" s="1203"/>
      <c r="S14" s="1203"/>
    </row>
    <row r="15" spans="1:20" ht="25.5" customHeight="1">
      <c r="A15" s="353"/>
      <c r="C15" s="353"/>
      <c r="D15" s="353"/>
      <c r="E15" s="353"/>
      <c r="F15" s="353"/>
      <c r="G15" s="353"/>
      <c r="H15" s="353"/>
      <c r="I15" s="353"/>
      <c r="J15" s="353"/>
      <c r="K15" s="353"/>
      <c r="L15" s="353"/>
      <c r="M15" s="353"/>
      <c r="N15" s="353"/>
      <c r="O15" s="353"/>
      <c r="P15" s="353"/>
      <c r="Q15" s="353"/>
      <c r="R15" s="353"/>
      <c r="S15" s="353"/>
    </row>
    <row r="16" spans="1:20" ht="18.75">
      <c r="A16" s="353"/>
      <c r="B16" s="369"/>
      <c r="C16" s="353"/>
      <c r="D16" s="353"/>
      <c r="E16" s="353"/>
      <c r="F16" s="353"/>
      <c r="G16" s="353"/>
      <c r="H16" s="353"/>
      <c r="I16" s="353"/>
      <c r="J16" s="353"/>
      <c r="K16" s="353"/>
      <c r="L16" s="353"/>
      <c r="M16" s="353"/>
      <c r="N16" s="353"/>
      <c r="O16" s="353"/>
      <c r="P16" s="353"/>
      <c r="Q16" s="353"/>
      <c r="R16" s="353"/>
      <c r="S16" s="353"/>
    </row>
    <row r="17" spans="1:19" ht="18.75">
      <c r="A17" s="353"/>
      <c r="B17" s="369"/>
      <c r="C17" s="353"/>
      <c r="D17" s="353"/>
      <c r="E17" s="353"/>
      <c r="F17" s="353"/>
      <c r="G17" s="353"/>
      <c r="H17" s="353"/>
      <c r="I17" s="353"/>
      <c r="J17" s="353"/>
      <c r="K17" s="353"/>
      <c r="L17" s="353"/>
      <c r="M17" s="353"/>
      <c r="N17" s="353"/>
      <c r="O17" s="353"/>
      <c r="P17" s="353"/>
      <c r="Q17" s="353"/>
      <c r="R17" s="353"/>
      <c r="S17" s="353"/>
    </row>
    <row r="18" spans="1:19" ht="18.75">
      <c r="A18" s="353"/>
      <c r="B18" s="369"/>
      <c r="C18" s="353"/>
      <c r="D18" s="353"/>
      <c r="E18" s="353"/>
      <c r="F18" s="353"/>
      <c r="G18" s="353"/>
      <c r="H18" s="353"/>
      <c r="I18" s="353"/>
      <c r="J18" s="353"/>
      <c r="K18" s="353"/>
      <c r="L18" s="353"/>
      <c r="M18" s="353"/>
      <c r="N18" s="353"/>
      <c r="O18" s="353"/>
      <c r="P18" s="353"/>
      <c r="Q18" s="353"/>
      <c r="R18" s="353"/>
      <c r="S18" s="353"/>
    </row>
    <row r="19" spans="1:19" ht="18.75">
      <c r="A19" s="353"/>
      <c r="B19" s="369"/>
      <c r="C19" s="353"/>
      <c r="D19" s="353"/>
      <c r="E19" s="353"/>
      <c r="F19" s="353"/>
      <c r="G19" s="353"/>
      <c r="H19" s="353"/>
      <c r="I19" s="353"/>
      <c r="J19" s="353"/>
      <c r="K19" s="353"/>
      <c r="L19" s="353"/>
      <c r="M19" s="353"/>
      <c r="N19" s="353"/>
      <c r="O19" s="353"/>
      <c r="P19" s="353"/>
      <c r="Q19" s="353"/>
      <c r="R19" s="353"/>
      <c r="S19" s="353"/>
    </row>
    <row r="20" spans="1:19" ht="18.75">
      <c r="A20" s="353"/>
      <c r="B20" s="369"/>
      <c r="C20" s="353"/>
      <c r="D20" s="353"/>
      <c r="E20" s="353"/>
      <c r="F20" s="353"/>
      <c r="G20" s="353"/>
      <c r="H20" s="353"/>
      <c r="I20" s="353"/>
      <c r="J20" s="353"/>
      <c r="K20" s="353"/>
      <c r="L20" s="353"/>
      <c r="M20" s="353"/>
      <c r="N20" s="353"/>
      <c r="O20" s="353"/>
      <c r="P20" s="353"/>
      <c r="Q20" s="353"/>
      <c r="R20" s="353"/>
      <c r="S20" s="353"/>
    </row>
    <row r="21" spans="1:19" ht="18.75">
      <c r="A21" s="353"/>
      <c r="B21" s="369"/>
      <c r="C21" s="353"/>
      <c r="D21" s="353"/>
      <c r="E21" s="353"/>
      <c r="F21" s="353"/>
      <c r="G21" s="353"/>
      <c r="H21" s="353"/>
      <c r="I21" s="353"/>
      <c r="J21" s="353"/>
      <c r="K21" s="353"/>
      <c r="L21" s="353"/>
      <c r="M21" s="353"/>
      <c r="N21" s="353"/>
      <c r="O21" s="353"/>
      <c r="P21" s="353"/>
      <c r="Q21" s="353"/>
      <c r="R21" s="353"/>
      <c r="S21" s="353"/>
    </row>
    <row r="22" spans="1:19" ht="18.75">
      <c r="A22" s="353"/>
      <c r="B22" s="369"/>
      <c r="C22" s="353"/>
      <c r="D22" s="353"/>
      <c r="E22" s="353"/>
      <c r="F22" s="353"/>
      <c r="G22" s="353"/>
      <c r="H22" s="353"/>
      <c r="I22" s="353"/>
      <c r="J22" s="353"/>
      <c r="K22" s="353"/>
      <c r="L22" s="353"/>
      <c r="M22" s="353"/>
      <c r="N22" s="353"/>
      <c r="O22" s="353"/>
      <c r="P22" s="353"/>
      <c r="Q22" s="353"/>
      <c r="R22" s="353"/>
      <c r="S22" s="353"/>
    </row>
    <row r="23" spans="1:19" ht="22.5" customHeight="1">
      <c r="A23" s="353"/>
      <c r="B23" s="369"/>
      <c r="C23" s="353"/>
      <c r="D23" s="353"/>
      <c r="E23" s="353"/>
      <c r="F23" s="353"/>
      <c r="G23" s="353"/>
      <c r="H23" s="353"/>
      <c r="I23" s="353"/>
      <c r="J23" s="353"/>
      <c r="K23" s="353"/>
      <c r="L23" s="353"/>
      <c r="M23" s="353"/>
      <c r="N23" s="353"/>
      <c r="O23" s="353"/>
      <c r="P23" s="353"/>
      <c r="Q23" s="353"/>
      <c r="R23" s="353"/>
      <c r="S23" s="353"/>
    </row>
    <row r="24" spans="1:19" ht="18.75">
      <c r="A24" s="353"/>
      <c r="B24" s="369"/>
      <c r="C24" s="353"/>
      <c r="D24" s="353"/>
      <c r="E24" s="353"/>
      <c r="F24" s="353"/>
      <c r="G24" s="353"/>
      <c r="H24" s="353"/>
      <c r="I24" s="353"/>
      <c r="J24" s="353"/>
      <c r="K24" s="353"/>
      <c r="L24" s="353"/>
      <c r="M24" s="353"/>
      <c r="N24" s="353"/>
      <c r="O24" s="353"/>
      <c r="P24" s="353"/>
      <c r="Q24" s="353"/>
      <c r="R24" s="353"/>
      <c r="S24" s="353"/>
    </row>
    <row r="25" spans="1:19" ht="18.75">
      <c r="A25" s="353"/>
      <c r="B25" s="369"/>
      <c r="C25" s="353"/>
      <c r="D25" s="353"/>
      <c r="E25" s="353"/>
      <c r="F25" s="353"/>
      <c r="G25" s="353"/>
      <c r="H25" s="353"/>
      <c r="I25" s="353"/>
      <c r="J25" s="353"/>
      <c r="K25" s="353"/>
      <c r="L25" s="353"/>
      <c r="M25" s="353"/>
      <c r="N25" s="353"/>
      <c r="O25" s="353"/>
      <c r="P25" s="353"/>
      <c r="Q25" s="353"/>
      <c r="R25" s="353"/>
      <c r="S25" s="353"/>
    </row>
    <row r="26" spans="1:19" ht="18.75">
      <c r="A26" s="353"/>
      <c r="B26" s="369"/>
      <c r="C26" s="353"/>
      <c r="D26" s="353"/>
      <c r="E26" s="353"/>
      <c r="F26" s="353"/>
      <c r="G26" s="353"/>
      <c r="H26" s="353"/>
      <c r="I26" s="353"/>
      <c r="J26" s="353"/>
      <c r="K26" s="353"/>
      <c r="L26" s="353"/>
      <c r="M26" s="353"/>
      <c r="N26" s="353"/>
      <c r="O26" s="353"/>
      <c r="P26" s="353"/>
      <c r="Q26" s="353"/>
      <c r="R26" s="353"/>
      <c r="S26" s="353"/>
    </row>
    <row r="27" spans="1:19" ht="18.75">
      <c r="A27" s="353"/>
      <c r="B27" s="369"/>
      <c r="C27" s="353"/>
      <c r="D27" s="353"/>
      <c r="E27" s="353"/>
      <c r="F27" s="353"/>
      <c r="G27" s="353"/>
      <c r="H27" s="353"/>
      <c r="I27" s="353"/>
      <c r="J27" s="353"/>
      <c r="K27" s="353"/>
      <c r="L27" s="353"/>
      <c r="M27" s="353"/>
      <c r="N27" s="353"/>
      <c r="O27" s="353"/>
      <c r="P27" s="353"/>
      <c r="Q27" s="353"/>
      <c r="R27" s="353"/>
      <c r="S27" s="353"/>
    </row>
  </sheetData>
  <mergeCells count="33">
    <mergeCell ref="B14:S14"/>
    <mergeCell ref="O7:O9"/>
    <mergeCell ref="P7:P9"/>
    <mergeCell ref="Q7:Q9"/>
    <mergeCell ref="R7:R9"/>
    <mergeCell ref="S7:S9"/>
    <mergeCell ref="A13:S13"/>
    <mergeCell ref="H7:H9"/>
    <mergeCell ref="I7:I9"/>
    <mergeCell ref="J7:J9"/>
    <mergeCell ref="K7:K9"/>
    <mergeCell ref="L7:L9"/>
    <mergeCell ref="N7:N9"/>
    <mergeCell ref="A5:A9"/>
    <mergeCell ref="B5:B9"/>
    <mergeCell ref="C5:C9"/>
    <mergeCell ref="M5:S5"/>
    <mergeCell ref="D6:D9"/>
    <mergeCell ref="E6:E9"/>
    <mergeCell ref="F6:F9"/>
    <mergeCell ref="G6:I6"/>
    <mergeCell ref="J6:L6"/>
    <mergeCell ref="M6:M9"/>
    <mergeCell ref="N6:P6"/>
    <mergeCell ref="Q6:S6"/>
    <mergeCell ref="G7:G9"/>
    <mergeCell ref="D5:E5"/>
    <mergeCell ref="F5:L5"/>
    <mergeCell ref="M1:S1"/>
    <mergeCell ref="A2:S2"/>
    <mergeCell ref="A3:S3"/>
    <mergeCell ref="K4:L4"/>
    <mergeCell ref="M4:S4"/>
  </mergeCells>
  <printOptions horizontalCentered="1"/>
  <pageMargins left="0.22" right="0.22" top="0.65" bottom="0.48" header="0.32" footer="0.16"/>
  <pageSetup paperSize="9" scale="77" fitToHeight="5" orientation="landscape" r:id="rId1"/>
  <headerFooter alignWithMargins="0">
    <oddHeader xml:space="preserve">&amp;C
                                                                                                                                  </oddHeader>
    <oddFooter>&amp;C&amp;".VnTime,  Italic"&amp;8
&amp;".VnTimeH,Regular"&amp;12&amp;P/&amp;N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F8F8"/>
    <pageSetUpPr fitToPage="1"/>
  </sheetPr>
  <dimension ref="A1:J28"/>
  <sheetViews>
    <sheetView zoomScale="80" zoomScaleNormal="80" workbookViewId="0">
      <selection activeCell="K3" sqref="K3"/>
    </sheetView>
  </sheetViews>
  <sheetFormatPr defaultRowHeight="16.5"/>
  <cols>
    <col min="1" max="1" width="5.85546875" style="301" customWidth="1"/>
    <col min="2" max="2" width="26.42578125" style="301" customWidth="1"/>
    <col min="3" max="4" width="13" style="301" customWidth="1"/>
    <col min="5" max="5" width="12.85546875" style="301" customWidth="1"/>
    <col min="6" max="6" width="19.28515625" style="301" customWidth="1"/>
    <col min="7" max="7" width="13.28515625" style="301" customWidth="1"/>
    <col min="8" max="8" width="14.140625" style="301" customWidth="1"/>
    <col min="9" max="10" width="14.42578125" style="301" customWidth="1"/>
    <col min="11" max="256" width="9.140625" style="301"/>
    <col min="257" max="257" width="5.85546875" style="301" customWidth="1"/>
    <col min="258" max="258" width="26.42578125" style="301" customWidth="1"/>
    <col min="259" max="260" width="13" style="301" customWidth="1"/>
    <col min="261" max="261" width="12.85546875" style="301" customWidth="1"/>
    <col min="262" max="262" width="19.28515625" style="301" customWidth="1"/>
    <col min="263" max="263" width="13.28515625" style="301" customWidth="1"/>
    <col min="264" max="264" width="14.140625" style="301" customWidth="1"/>
    <col min="265" max="266" width="14.42578125" style="301" customWidth="1"/>
    <col min="267" max="512" width="9.140625" style="301"/>
    <col min="513" max="513" width="5.85546875" style="301" customWidth="1"/>
    <col min="514" max="514" width="26.42578125" style="301" customWidth="1"/>
    <col min="515" max="516" width="13" style="301" customWidth="1"/>
    <col min="517" max="517" width="12.85546875" style="301" customWidth="1"/>
    <col min="518" max="518" width="19.28515625" style="301" customWidth="1"/>
    <col min="519" max="519" width="13.28515625" style="301" customWidth="1"/>
    <col min="520" max="520" width="14.140625" style="301" customWidth="1"/>
    <col min="521" max="522" width="14.42578125" style="301" customWidth="1"/>
    <col min="523" max="768" width="9.140625" style="301"/>
    <col min="769" max="769" width="5.85546875" style="301" customWidth="1"/>
    <col min="770" max="770" width="26.42578125" style="301" customWidth="1"/>
    <col min="771" max="772" width="13" style="301" customWidth="1"/>
    <col min="773" max="773" width="12.85546875" style="301" customWidth="1"/>
    <col min="774" max="774" width="19.28515625" style="301" customWidth="1"/>
    <col min="775" max="775" width="13.28515625" style="301" customWidth="1"/>
    <col min="776" max="776" width="14.140625" style="301" customWidth="1"/>
    <col min="777" max="778" width="14.42578125" style="301" customWidth="1"/>
    <col min="779" max="1024" width="9.140625" style="301"/>
    <col min="1025" max="1025" width="5.85546875" style="301" customWidth="1"/>
    <col min="1026" max="1026" width="26.42578125" style="301" customWidth="1"/>
    <col min="1027" max="1028" width="13" style="301" customWidth="1"/>
    <col min="1029" max="1029" width="12.85546875" style="301" customWidth="1"/>
    <col min="1030" max="1030" width="19.28515625" style="301" customWidth="1"/>
    <col min="1031" max="1031" width="13.28515625" style="301" customWidth="1"/>
    <col min="1032" max="1032" width="14.140625" style="301" customWidth="1"/>
    <col min="1033" max="1034" width="14.42578125" style="301" customWidth="1"/>
    <col min="1035" max="1280" width="9.140625" style="301"/>
    <col min="1281" max="1281" width="5.85546875" style="301" customWidth="1"/>
    <col min="1282" max="1282" width="26.42578125" style="301" customWidth="1"/>
    <col min="1283" max="1284" width="13" style="301" customWidth="1"/>
    <col min="1285" max="1285" width="12.85546875" style="301" customWidth="1"/>
    <col min="1286" max="1286" width="19.28515625" style="301" customWidth="1"/>
    <col min="1287" max="1287" width="13.28515625" style="301" customWidth="1"/>
    <col min="1288" max="1288" width="14.140625" style="301" customWidth="1"/>
    <col min="1289" max="1290" width="14.42578125" style="301" customWidth="1"/>
    <col min="1291" max="1536" width="9.140625" style="301"/>
    <col min="1537" max="1537" width="5.85546875" style="301" customWidth="1"/>
    <col min="1538" max="1538" width="26.42578125" style="301" customWidth="1"/>
    <col min="1539" max="1540" width="13" style="301" customWidth="1"/>
    <col min="1541" max="1541" width="12.85546875" style="301" customWidth="1"/>
    <col min="1542" max="1542" width="19.28515625" style="301" customWidth="1"/>
    <col min="1543" max="1543" width="13.28515625" style="301" customWidth="1"/>
    <col min="1544" max="1544" width="14.140625" style="301" customWidth="1"/>
    <col min="1545" max="1546" width="14.42578125" style="301" customWidth="1"/>
    <col min="1547" max="1792" width="9.140625" style="301"/>
    <col min="1793" max="1793" width="5.85546875" style="301" customWidth="1"/>
    <col min="1794" max="1794" width="26.42578125" style="301" customWidth="1"/>
    <col min="1795" max="1796" width="13" style="301" customWidth="1"/>
    <col min="1797" max="1797" width="12.85546875" style="301" customWidth="1"/>
    <col min="1798" max="1798" width="19.28515625" style="301" customWidth="1"/>
    <col min="1799" max="1799" width="13.28515625" style="301" customWidth="1"/>
    <col min="1800" max="1800" width="14.140625" style="301" customWidth="1"/>
    <col min="1801" max="1802" width="14.42578125" style="301" customWidth="1"/>
    <col min="1803" max="2048" width="9.140625" style="301"/>
    <col min="2049" max="2049" width="5.85546875" style="301" customWidth="1"/>
    <col min="2050" max="2050" width="26.42578125" style="301" customWidth="1"/>
    <col min="2051" max="2052" width="13" style="301" customWidth="1"/>
    <col min="2053" max="2053" width="12.85546875" style="301" customWidth="1"/>
    <col min="2054" max="2054" width="19.28515625" style="301" customWidth="1"/>
    <col min="2055" max="2055" width="13.28515625" style="301" customWidth="1"/>
    <col min="2056" max="2056" width="14.140625" style="301" customWidth="1"/>
    <col min="2057" max="2058" width="14.42578125" style="301" customWidth="1"/>
    <col min="2059" max="2304" width="9.140625" style="301"/>
    <col min="2305" max="2305" width="5.85546875" style="301" customWidth="1"/>
    <col min="2306" max="2306" width="26.42578125" style="301" customWidth="1"/>
    <col min="2307" max="2308" width="13" style="301" customWidth="1"/>
    <col min="2309" max="2309" width="12.85546875" style="301" customWidth="1"/>
    <col min="2310" max="2310" width="19.28515625" style="301" customWidth="1"/>
    <col min="2311" max="2311" width="13.28515625" style="301" customWidth="1"/>
    <col min="2312" max="2312" width="14.140625" style="301" customWidth="1"/>
    <col min="2313" max="2314" width="14.42578125" style="301" customWidth="1"/>
    <col min="2315" max="2560" width="9.140625" style="301"/>
    <col min="2561" max="2561" width="5.85546875" style="301" customWidth="1"/>
    <col min="2562" max="2562" width="26.42578125" style="301" customWidth="1"/>
    <col min="2563" max="2564" width="13" style="301" customWidth="1"/>
    <col min="2565" max="2565" width="12.85546875" style="301" customWidth="1"/>
    <col min="2566" max="2566" width="19.28515625" style="301" customWidth="1"/>
    <col min="2567" max="2567" width="13.28515625" style="301" customWidth="1"/>
    <col min="2568" max="2568" width="14.140625" style="301" customWidth="1"/>
    <col min="2569" max="2570" width="14.42578125" style="301" customWidth="1"/>
    <col min="2571" max="2816" width="9.140625" style="301"/>
    <col min="2817" max="2817" width="5.85546875" style="301" customWidth="1"/>
    <col min="2818" max="2818" width="26.42578125" style="301" customWidth="1"/>
    <col min="2819" max="2820" width="13" style="301" customWidth="1"/>
    <col min="2821" max="2821" width="12.85546875" style="301" customWidth="1"/>
    <col min="2822" max="2822" width="19.28515625" style="301" customWidth="1"/>
    <col min="2823" max="2823" width="13.28515625" style="301" customWidth="1"/>
    <col min="2824" max="2824" width="14.140625" style="301" customWidth="1"/>
    <col min="2825" max="2826" width="14.42578125" style="301" customWidth="1"/>
    <col min="2827" max="3072" width="9.140625" style="301"/>
    <col min="3073" max="3073" width="5.85546875" style="301" customWidth="1"/>
    <col min="3074" max="3074" width="26.42578125" style="301" customWidth="1"/>
    <col min="3075" max="3076" width="13" style="301" customWidth="1"/>
    <col min="3077" max="3077" width="12.85546875" style="301" customWidth="1"/>
    <col min="3078" max="3078" width="19.28515625" style="301" customWidth="1"/>
    <col min="3079" max="3079" width="13.28515625" style="301" customWidth="1"/>
    <col min="3080" max="3080" width="14.140625" style="301" customWidth="1"/>
    <col min="3081" max="3082" width="14.42578125" style="301" customWidth="1"/>
    <col min="3083" max="3328" width="9.140625" style="301"/>
    <col min="3329" max="3329" width="5.85546875" style="301" customWidth="1"/>
    <col min="3330" max="3330" width="26.42578125" style="301" customWidth="1"/>
    <col min="3331" max="3332" width="13" style="301" customWidth="1"/>
    <col min="3333" max="3333" width="12.85546875" style="301" customWidth="1"/>
    <col min="3334" max="3334" width="19.28515625" style="301" customWidth="1"/>
    <col min="3335" max="3335" width="13.28515625" style="301" customWidth="1"/>
    <col min="3336" max="3336" width="14.140625" style="301" customWidth="1"/>
    <col min="3337" max="3338" width="14.42578125" style="301" customWidth="1"/>
    <col min="3339" max="3584" width="9.140625" style="301"/>
    <col min="3585" max="3585" width="5.85546875" style="301" customWidth="1"/>
    <col min="3586" max="3586" width="26.42578125" style="301" customWidth="1"/>
    <col min="3587" max="3588" width="13" style="301" customWidth="1"/>
    <col min="3589" max="3589" width="12.85546875" style="301" customWidth="1"/>
    <col min="3590" max="3590" width="19.28515625" style="301" customWidth="1"/>
    <col min="3591" max="3591" width="13.28515625" style="301" customWidth="1"/>
    <col min="3592" max="3592" width="14.140625" style="301" customWidth="1"/>
    <col min="3593" max="3594" width="14.42578125" style="301" customWidth="1"/>
    <col min="3595" max="3840" width="9.140625" style="301"/>
    <col min="3841" max="3841" width="5.85546875" style="301" customWidth="1"/>
    <col min="3842" max="3842" width="26.42578125" style="301" customWidth="1"/>
    <col min="3843" max="3844" width="13" style="301" customWidth="1"/>
    <col min="3845" max="3845" width="12.85546875" style="301" customWidth="1"/>
    <col min="3846" max="3846" width="19.28515625" style="301" customWidth="1"/>
    <col min="3847" max="3847" width="13.28515625" style="301" customWidth="1"/>
    <col min="3848" max="3848" width="14.140625" style="301" customWidth="1"/>
    <col min="3849" max="3850" width="14.42578125" style="301" customWidth="1"/>
    <col min="3851" max="4096" width="9.140625" style="301"/>
    <col min="4097" max="4097" width="5.85546875" style="301" customWidth="1"/>
    <col min="4098" max="4098" width="26.42578125" style="301" customWidth="1"/>
    <col min="4099" max="4100" width="13" style="301" customWidth="1"/>
    <col min="4101" max="4101" width="12.85546875" style="301" customWidth="1"/>
    <col min="4102" max="4102" width="19.28515625" style="301" customWidth="1"/>
    <col min="4103" max="4103" width="13.28515625" style="301" customWidth="1"/>
    <col min="4104" max="4104" width="14.140625" style="301" customWidth="1"/>
    <col min="4105" max="4106" width="14.42578125" style="301" customWidth="1"/>
    <col min="4107" max="4352" width="9.140625" style="301"/>
    <col min="4353" max="4353" width="5.85546875" style="301" customWidth="1"/>
    <col min="4354" max="4354" width="26.42578125" style="301" customWidth="1"/>
    <col min="4355" max="4356" width="13" style="301" customWidth="1"/>
    <col min="4357" max="4357" width="12.85546875" style="301" customWidth="1"/>
    <col min="4358" max="4358" width="19.28515625" style="301" customWidth="1"/>
    <col min="4359" max="4359" width="13.28515625" style="301" customWidth="1"/>
    <col min="4360" max="4360" width="14.140625" style="301" customWidth="1"/>
    <col min="4361" max="4362" width="14.42578125" style="301" customWidth="1"/>
    <col min="4363" max="4608" width="9.140625" style="301"/>
    <col min="4609" max="4609" width="5.85546875" style="301" customWidth="1"/>
    <col min="4610" max="4610" width="26.42578125" style="301" customWidth="1"/>
    <col min="4611" max="4612" width="13" style="301" customWidth="1"/>
    <col min="4613" max="4613" width="12.85546875" style="301" customWidth="1"/>
    <col min="4614" max="4614" width="19.28515625" style="301" customWidth="1"/>
    <col min="4615" max="4615" width="13.28515625" style="301" customWidth="1"/>
    <col min="4616" max="4616" width="14.140625" style="301" customWidth="1"/>
    <col min="4617" max="4618" width="14.42578125" style="301" customWidth="1"/>
    <col min="4619" max="4864" width="9.140625" style="301"/>
    <col min="4865" max="4865" width="5.85546875" style="301" customWidth="1"/>
    <col min="4866" max="4866" width="26.42578125" style="301" customWidth="1"/>
    <col min="4867" max="4868" width="13" style="301" customWidth="1"/>
    <col min="4869" max="4869" width="12.85546875" style="301" customWidth="1"/>
    <col min="4870" max="4870" width="19.28515625" style="301" customWidth="1"/>
    <col min="4871" max="4871" width="13.28515625" style="301" customWidth="1"/>
    <col min="4872" max="4872" width="14.140625" style="301" customWidth="1"/>
    <col min="4873" max="4874" width="14.42578125" style="301" customWidth="1"/>
    <col min="4875" max="5120" width="9.140625" style="301"/>
    <col min="5121" max="5121" width="5.85546875" style="301" customWidth="1"/>
    <col min="5122" max="5122" width="26.42578125" style="301" customWidth="1"/>
    <col min="5123" max="5124" width="13" style="301" customWidth="1"/>
    <col min="5125" max="5125" width="12.85546875" style="301" customWidth="1"/>
    <col min="5126" max="5126" width="19.28515625" style="301" customWidth="1"/>
    <col min="5127" max="5127" width="13.28515625" style="301" customWidth="1"/>
    <col min="5128" max="5128" width="14.140625" style="301" customWidth="1"/>
    <col min="5129" max="5130" width="14.42578125" style="301" customWidth="1"/>
    <col min="5131" max="5376" width="9.140625" style="301"/>
    <col min="5377" max="5377" width="5.85546875" style="301" customWidth="1"/>
    <col min="5378" max="5378" width="26.42578125" style="301" customWidth="1"/>
    <col min="5379" max="5380" width="13" style="301" customWidth="1"/>
    <col min="5381" max="5381" width="12.85546875" style="301" customWidth="1"/>
    <col min="5382" max="5382" width="19.28515625" style="301" customWidth="1"/>
    <col min="5383" max="5383" width="13.28515625" style="301" customWidth="1"/>
    <col min="5384" max="5384" width="14.140625" style="301" customWidth="1"/>
    <col min="5385" max="5386" width="14.42578125" style="301" customWidth="1"/>
    <col min="5387" max="5632" width="9.140625" style="301"/>
    <col min="5633" max="5633" width="5.85546875" style="301" customWidth="1"/>
    <col min="5634" max="5634" width="26.42578125" style="301" customWidth="1"/>
    <col min="5635" max="5636" width="13" style="301" customWidth="1"/>
    <col min="5637" max="5637" width="12.85546875" style="301" customWidth="1"/>
    <col min="5638" max="5638" width="19.28515625" style="301" customWidth="1"/>
    <col min="5639" max="5639" width="13.28515625" style="301" customWidth="1"/>
    <col min="5640" max="5640" width="14.140625" style="301" customWidth="1"/>
    <col min="5641" max="5642" width="14.42578125" style="301" customWidth="1"/>
    <col min="5643" max="5888" width="9.140625" style="301"/>
    <col min="5889" max="5889" width="5.85546875" style="301" customWidth="1"/>
    <col min="5890" max="5890" width="26.42578125" style="301" customWidth="1"/>
    <col min="5891" max="5892" width="13" style="301" customWidth="1"/>
    <col min="5893" max="5893" width="12.85546875" style="301" customWidth="1"/>
    <col min="5894" max="5894" width="19.28515625" style="301" customWidth="1"/>
    <col min="5895" max="5895" width="13.28515625" style="301" customWidth="1"/>
    <col min="5896" max="5896" width="14.140625" style="301" customWidth="1"/>
    <col min="5897" max="5898" width="14.42578125" style="301" customWidth="1"/>
    <col min="5899" max="6144" width="9.140625" style="301"/>
    <col min="6145" max="6145" width="5.85546875" style="301" customWidth="1"/>
    <col min="6146" max="6146" width="26.42578125" style="301" customWidth="1"/>
    <col min="6147" max="6148" width="13" style="301" customWidth="1"/>
    <col min="6149" max="6149" width="12.85546875" style="301" customWidth="1"/>
    <col min="6150" max="6150" width="19.28515625" style="301" customWidth="1"/>
    <col min="6151" max="6151" width="13.28515625" style="301" customWidth="1"/>
    <col min="6152" max="6152" width="14.140625" style="301" customWidth="1"/>
    <col min="6153" max="6154" width="14.42578125" style="301" customWidth="1"/>
    <col min="6155" max="6400" width="9.140625" style="301"/>
    <col min="6401" max="6401" width="5.85546875" style="301" customWidth="1"/>
    <col min="6402" max="6402" width="26.42578125" style="301" customWidth="1"/>
    <col min="6403" max="6404" width="13" style="301" customWidth="1"/>
    <col min="6405" max="6405" width="12.85546875" style="301" customWidth="1"/>
    <col min="6406" max="6406" width="19.28515625" style="301" customWidth="1"/>
    <col min="6407" max="6407" width="13.28515625" style="301" customWidth="1"/>
    <col min="6408" max="6408" width="14.140625" style="301" customWidth="1"/>
    <col min="6409" max="6410" width="14.42578125" style="301" customWidth="1"/>
    <col min="6411" max="6656" width="9.140625" style="301"/>
    <col min="6657" max="6657" width="5.85546875" style="301" customWidth="1"/>
    <col min="6658" max="6658" width="26.42578125" style="301" customWidth="1"/>
    <col min="6659" max="6660" width="13" style="301" customWidth="1"/>
    <col min="6661" max="6661" width="12.85546875" style="301" customWidth="1"/>
    <col min="6662" max="6662" width="19.28515625" style="301" customWidth="1"/>
    <col min="6663" max="6663" width="13.28515625" style="301" customWidth="1"/>
    <col min="6664" max="6664" width="14.140625" style="301" customWidth="1"/>
    <col min="6665" max="6666" width="14.42578125" style="301" customWidth="1"/>
    <col min="6667" max="6912" width="9.140625" style="301"/>
    <col min="6913" max="6913" width="5.85546875" style="301" customWidth="1"/>
    <col min="6914" max="6914" width="26.42578125" style="301" customWidth="1"/>
    <col min="6915" max="6916" width="13" style="301" customWidth="1"/>
    <col min="6917" max="6917" width="12.85546875" style="301" customWidth="1"/>
    <col min="6918" max="6918" width="19.28515625" style="301" customWidth="1"/>
    <col min="6919" max="6919" width="13.28515625" style="301" customWidth="1"/>
    <col min="6920" max="6920" width="14.140625" style="301" customWidth="1"/>
    <col min="6921" max="6922" width="14.42578125" style="301" customWidth="1"/>
    <col min="6923" max="7168" width="9.140625" style="301"/>
    <col min="7169" max="7169" width="5.85546875" style="301" customWidth="1"/>
    <col min="7170" max="7170" width="26.42578125" style="301" customWidth="1"/>
    <col min="7171" max="7172" width="13" style="301" customWidth="1"/>
    <col min="7173" max="7173" width="12.85546875" style="301" customWidth="1"/>
    <col min="7174" max="7174" width="19.28515625" style="301" customWidth="1"/>
    <col min="7175" max="7175" width="13.28515625" style="301" customWidth="1"/>
    <col min="7176" max="7176" width="14.140625" style="301" customWidth="1"/>
    <col min="7177" max="7178" width="14.42578125" style="301" customWidth="1"/>
    <col min="7179" max="7424" width="9.140625" style="301"/>
    <col min="7425" max="7425" width="5.85546875" style="301" customWidth="1"/>
    <col min="7426" max="7426" width="26.42578125" style="301" customWidth="1"/>
    <col min="7427" max="7428" width="13" style="301" customWidth="1"/>
    <col min="7429" max="7429" width="12.85546875" style="301" customWidth="1"/>
    <col min="7430" max="7430" width="19.28515625" style="301" customWidth="1"/>
    <col min="7431" max="7431" width="13.28515625" style="301" customWidth="1"/>
    <col min="7432" max="7432" width="14.140625" style="301" customWidth="1"/>
    <col min="7433" max="7434" width="14.42578125" style="301" customWidth="1"/>
    <col min="7435" max="7680" width="9.140625" style="301"/>
    <col min="7681" max="7681" width="5.85546875" style="301" customWidth="1"/>
    <col min="7682" max="7682" width="26.42578125" style="301" customWidth="1"/>
    <col min="7683" max="7684" width="13" style="301" customWidth="1"/>
    <col min="7685" max="7685" width="12.85546875" style="301" customWidth="1"/>
    <col min="7686" max="7686" width="19.28515625" style="301" customWidth="1"/>
    <col min="7687" max="7687" width="13.28515625" style="301" customWidth="1"/>
    <col min="7688" max="7688" width="14.140625" style="301" customWidth="1"/>
    <col min="7689" max="7690" width="14.42578125" style="301" customWidth="1"/>
    <col min="7691" max="7936" width="9.140625" style="301"/>
    <col min="7937" max="7937" width="5.85546875" style="301" customWidth="1"/>
    <col min="7938" max="7938" width="26.42578125" style="301" customWidth="1"/>
    <col min="7939" max="7940" width="13" style="301" customWidth="1"/>
    <col min="7941" max="7941" width="12.85546875" style="301" customWidth="1"/>
    <col min="7942" max="7942" width="19.28515625" style="301" customWidth="1"/>
    <col min="7943" max="7943" width="13.28515625" style="301" customWidth="1"/>
    <col min="7944" max="7944" width="14.140625" style="301" customWidth="1"/>
    <col min="7945" max="7946" width="14.42578125" style="301" customWidth="1"/>
    <col min="7947" max="8192" width="9.140625" style="301"/>
    <col min="8193" max="8193" width="5.85546875" style="301" customWidth="1"/>
    <col min="8194" max="8194" width="26.42578125" style="301" customWidth="1"/>
    <col min="8195" max="8196" width="13" style="301" customWidth="1"/>
    <col min="8197" max="8197" width="12.85546875" style="301" customWidth="1"/>
    <col min="8198" max="8198" width="19.28515625" style="301" customWidth="1"/>
    <col min="8199" max="8199" width="13.28515625" style="301" customWidth="1"/>
    <col min="8200" max="8200" width="14.140625" style="301" customWidth="1"/>
    <col min="8201" max="8202" width="14.42578125" style="301" customWidth="1"/>
    <col min="8203" max="8448" width="9.140625" style="301"/>
    <col min="8449" max="8449" width="5.85546875" style="301" customWidth="1"/>
    <col min="8450" max="8450" width="26.42578125" style="301" customWidth="1"/>
    <col min="8451" max="8452" width="13" style="301" customWidth="1"/>
    <col min="8453" max="8453" width="12.85546875" style="301" customWidth="1"/>
    <col min="8454" max="8454" width="19.28515625" style="301" customWidth="1"/>
    <col min="8455" max="8455" width="13.28515625" style="301" customWidth="1"/>
    <col min="8456" max="8456" width="14.140625" style="301" customWidth="1"/>
    <col min="8457" max="8458" width="14.42578125" style="301" customWidth="1"/>
    <col min="8459" max="8704" width="9.140625" style="301"/>
    <col min="8705" max="8705" width="5.85546875" style="301" customWidth="1"/>
    <col min="8706" max="8706" width="26.42578125" style="301" customWidth="1"/>
    <col min="8707" max="8708" width="13" style="301" customWidth="1"/>
    <col min="8709" max="8709" width="12.85546875" style="301" customWidth="1"/>
    <col min="8710" max="8710" width="19.28515625" style="301" customWidth="1"/>
    <col min="8711" max="8711" width="13.28515625" style="301" customWidth="1"/>
    <col min="8712" max="8712" width="14.140625" style="301" customWidth="1"/>
    <col min="8713" max="8714" width="14.42578125" style="301" customWidth="1"/>
    <col min="8715" max="8960" width="9.140625" style="301"/>
    <col min="8961" max="8961" width="5.85546875" style="301" customWidth="1"/>
    <col min="8962" max="8962" width="26.42578125" style="301" customWidth="1"/>
    <col min="8963" max="8964" width="13" style="301" customWidth="1"/>
    <col min="8965" max="8965" width="12.85546875" style="301" customWidth="1"/>
    <col min="8966" max="8966" width="19.28515625" style="301" customWidth="1"/>
    <col min="8967" max="8967" width="13.28515625" style="301" customWidth="1"/>
    <col min="8968" max="8968" width="14.140625" style="301" customWidth="1"/>
    <col min="8969" max="8970" width="14.42578125" style="301" customWidth="1"/>
    <col min="8971" max="9216" width="9.140625" style="301"/>
    <col min="9217" max="9217" width="5.85546875" style="301" customWidth="1"/>
    <col min="9218" max="9218" width="26.42578125" style="301" customWidth="1"/>
    <col min="9219" max="9220" width="13" style="301" customWidth="1"/>
    <col min="9221" max="9221" width="12.85546875" style="301" customWidth="1"/>
    <col min="9222" max="9222" width="19.28515625" style="301" customWidth="1"/>
    <col min="9223" max="9223" width="13.28515625" style="301" customWidth="1"/>
    <col min="9224" max="9224" width="14.140625" style="301" customWidth="1"/>
    <col min="9225" max="9226" width="14.42578125" style="301" customWidth="1"/>
    <col min="9227" max="9472" width="9.140625" style="301"/>
    <col min="9473" max="9473" width="5.85546875" style="301" customWidth="1"/>
    <col min="9474" max="9474" width="26.42578125" style="301" customWidth="1"/>
    <col min="9475" max="9476" width="13" style="301" customWidth="1"/>
    <col min="9477" max="9477" width="12.85546875" style="301" customWidth="1"/>
    <col min="9478" max="9478" width="19.28515625" style="301" customWidth="1"/>
    <col min="9479" max="9479" width="13.28515625" style="301" customWidth="1"/>
    <col min="9480" max="9480" width="14.140625" style="301" customWidth="1"/>
    <col min="9481" max="9482" width="14.42578125" style="301" customWidth="1"/>
    <col min="9483" max="9728" width="9.140625" style="301"/>
    <col min="9729" max="9729" width="5.85546875" style="301" customWidth="1"/>
    <col min="9730" max="9730" width="26.42578125" style="301" customWidth="1"/>
    <col min="9731" max="9732" width="13" style="301" customWidth="1"/>
    <col min="9733" max="9733" width="12.85546875" style="301" customWidth="1"/>
    <col min="9734" max="9734" width="19.28515625" style="301" customWidth="1"/>
    <col min="9735" max="9735" width="13.28515625" style="301" customWidth="1"/>
    <col min="9736" max="9736" width="14.140625" style="301" customWidth="1"/>
    <col min="9737" max="9738" width="14.42578125" style="301" customWidth="1"/>
    <col min="9739" max="9984" width="9.140625" style="301"/>
    <col min="9985" max="9985" width="5.85546875" style="301" customWidth="1"/>
    <col min="9986" max="9986" width="26.42578125" style="301" customWidth="1"/>
    <col min="9987" max="9988" width="13" style="301" customWidth="1"/>
    <col min="9989" max="9989" width="12.85546875" style="301" customWidth="1"/>
    <col min="9990" max="9990" width="19.28515625" style="301" customWidth="1"/>
    <col min="9991" max="9991" width="13.28515625" style="301" customWidth="1"/>
    <col min="9992" max="9992" width="14.140625" style="301" customWidth="1"/>
    <col min="9993" max="9994" width="14.42578125" style="301" customWidth="1"/>
    <col min="9995" max="10240" width="9.140625" style="301"/>
    <col min="10241" max="10241" width="5.85546875" style="301" customWidth="1"/>
    <col min="10242" max="10242" width="26.42578125" style="301" customWidth="1"/>
    <col min="10243" max="10244" width="13" style="301" customWidth="1"/>
    <col min="10245" max="10245" width="12.85546875" style="301" customWidth="1"/>
    <col min="10246" max="10246" width="19.28515625" style="301" customWidth="1"/>
    <col min="10247" max="10247" width="13.28515625" style="301" customWidth="1"/>
    <col min="10248" max="10248" width="14.140625" style="301" customWidth="1"/>
    <col min="10249" max="10250" width="14.42578125" style="301" customWidth="1"/>
    <col min="10251" max="10496" width="9.140625" style="301"/>
    <col min="10497" max="10497" width="5.85546875" style="301" customWidth="1"/>
    <col min="10498" max="10498" width="26.42578125" style="301" customWidth="1"/>
    <col min="10499" max="10500" width="13" style="301" customWidth="1"/>
    <col min="10501" max="10501" width="12.85546875" style="301" customWidth="1"/>
    <col min="10502" max="10502" width="19.28515625" style="301" customWidth="1"/>
    <col min="10503" max="10503" width="13.28515625" style="301" customWidth="1"/>
    <col min="10504" max="10504" width="14.140625" style="301" customWidth="1"/>
    <col min="10505" max="10506" width="14.42578125" style="301" customWidth="1"/>
    <col min="10507" max="10752" width="9.140625" style="301"/>
    <col min="10753" max="10753" width="5.85546875" style="301" customWidth="1"/>
    <col min="10754" max="10754" width="26.42578125" style="301" customWidth="1"/>
    <col min="10755" max="10756" width="13" style="301" customWidth="1"/>
    <col min="10757" max="10757" width="12.85546875" style="301" customWidth="1"/>
    <col min="10758" max="10758" width="19.28515625" style="301" customWidth="1"/>
    <col min="10759" max="10759" width="13.28515625" style="301" customWidth="1"/>
    <col min="10760" max="10760" width="14.140625" style="301" customWidth="1"/>
    <col min="10761" max="10762" width="14.42578125" style="301" customWidth="1"/>
    <col min="10763" max="11008" width="9.140625" style="301"/>
    <col min="11009" max="11009" width="5.85546875" style="301" customWidth="1"/>
    <col min="11010" max="11010" width="26.42578125" style="301" customWidth="1"/>
    <col min="11011" max="11012" width="13" style="301" customWidth="1"/>
    <col min="11013" max="11013" width="12.85546875" style="301" customWidth="1"/>
    <col min="11014" max="11014" width="19.28515625" style="301" customWidth="1"/>
    <col min="11015" max="11015" width="13.28515625" style="301" customWidth="1"/>
    <col min="11016" max="11016" width="14.140625" style="301" customWidth="1"/>
    <col min="11017" max="11018" width="14.42578125" style="301" customWidth="1"/>
    <col min="11019" max="11264" width="9.140625" style="301"/>
    <col min="11265" max="11265" width="5.85546875" style="301" customWidth="1"/>
    <col min="11266" max="11266" width="26.42578125" style="301" customWidth="1"/>
    <col min="11267" max="11268" width="13" style="301" customWidth="1"/>
    <col min="11269" max="11269" width="12.85546875" style="301" customWidth="1"/>
    <col min="11270" max="11270" width="19.28515625" style="301" customWidth="1"/>
    <col min="11271" max="11271" width="13.28515625" style="301" customWidth="1"/>
    <col min="11272" max="11272" width="14.140625" style="301" customWidth="1"/>
    <col min="11273" max="11274" width="14.42578125" style="301" customWidth="1"/>
    <col min="11275" max="11520" width="9.140625" style="301"/>
    <col min="11521" max="11521" width="5.85546875" style="301" customWidth="1"/>
    <col min="11522" max="11522" width="26.42578125" style="301" customWidth="1"/>
    <col min="11523" max="11524" width="13" style="301" customWidth="1"/>
    <col min="11525" max="11525" width="12.85546875" style="301" customWidth="1"/>
    <col min="11526" max="11526" width="19.28515625" style="301" customWidth="1"/>
    <col min="11527" max="11527" width="13.28515625" style="301" customWidth="1"/>
    <col min="11528" max="11528" width="14.140625" style="301" customWidth="1"/>
    <col min="11529" max="11530" width="14.42578125" style="301" customWidth="1"/>
    <col min="11531" max="11776" width="9.140625" style="301"/>
    <col min="11777" max="11777" width="5.85546875" style="301" customWidth="1"/>
    <col min="11778" max="11778" width="26.42578125" style="301" customWidth="1"/>
    <col min="11779" max="11780" width="13" style="301" customWidth="1"/>
    <col min="11781" max="11781" width="12.85546875" style="301" customWidth="1"/>
    <col min="11782" max="11782" width="19.28515625" style="301" customWidth="1"/>
    <col min="11783" max="11783" width="13.28515625" style="301" customWidth="1"/>
    <col min="11784" max="11784" width="14.140625" style="301" customWidth="1"/>
    <col min="11785" max="11786" width="14.42578125" style="301" customWidth="1"/>
    <col min="11787" max="12032" width="9.140625" style="301"/>
    <col min="12033" max="12033" width="5.85546875" style="301" customWidth="1"/>
    <col min="12034" max="12034" width="26.42578125" style="301" customWidth="1"/>
    <col min="12035" max="12036" width="13" style="301" customWidth="1"/>
    <col min="12037" max="12037" width="12.85546875" style="301" customWidth="1"/>
    <col min="12038" max="12038" width="19.28515625" style="301" customWidth="1"/>
    <col min="12039" max="12039" width="13.28515625" style="301" customWidth="1"/>
    <col min="12040" max="12040" width="14.140625" style="301" customWidth="1"/>
    <col min="12041" max="12042" width="14.42578125" style="301" customWidth="1"/>
    <col min="12043" max="12288" width="9.140625" style="301"/>
    <col min="12289" max="12289" width="5.85546875" style="301" customWidth="1"/>
    <col min="12290" max="12290" width="26.42578125" style="301" customWidth="1"/>
    <col min="12291" max="12292" width="13" style="301" customWidth="1"/>
    <col min="12293" max="12293" width="12.85546875" style="301" customWidth="1"/>
    <col min="12294" max="12294" width="19.28515625" style="301" customWidth="1"/>
    <col min="12295" max="12295" width="13.28515625" style="301" customWidth="1"/>
    <col min="12296" max="12296" width="14.140625" style="301" customWidth="1"/>
    <col min="12297" max="12298" width="14.42578125" style="301" customWidth="1"/>
    <col min="12299" max="12544" width="9.140625" style="301"/>
    <col min="12545" max="12545" width="5.85546875" style="301" customWidth="1"/>
    <col min="12546" max="12546" width="26.42578125" style="301" customWidth="1"/>
    <col min="12547" max="12548" width="13" style="301" customWidth="1"/>
    <col min="12549" max="12549" width="12.85546875" style="301" customWidth="1"/>
    <col min="12550" max="12550" width="19.28515625" style="301" customWidth="1"/>
    <col min="12551" max="12551" width="13.28515625" style="301" customWidth="1"/>
    <col min="12552" max="12552" width="14.140625" style="301" customWidth="1"/>
    <col min="12553" max="12554" width="14.42578125" style="301" customWidth="1"/>
    <col min="12555" max="12800" width="9.140625" style="301"/>
    <col min="12801" max="12801" width="5.85546875" style="301" customWidth="1"/>
    <col min="12802" max="12802" width="26.42578125" style="301" customWidth="1"/>
    <col min="12803" max="12804" width="13" style="301" customWidth="1"/>
    <col min="12805" max="12805" width="12.85546875" style="301" customWidth="1"/>
    <col min="12806" max="12806" width="19.28515625" style="301" customWidth="1"/>
    <col min="12807" max="12807" width="13.28515625" style="301" customWidth="1"/>
    <col min="12808" max="12808" width="14.140625" style="301" customWidth="1"/>
    <col min="12809" max="12810" width="14.42578125" style="301" customWidth="1"/>
    <col min="12811" max="13056" width="9.140625" style="301"/>
    <col min="13057" max="13057" width="5.85546875" style="301" customWidth="1"/>
    <col min="13058" max="13058" width="26.42578125" style="301" customWidth="1"/>
    <col min="13059" max="13060" width="13" style="301" customWidth="1"/>
    <col min="13061" max="13061" width="12.85546875" style="301" customWidth="1"/>
    <col min="13062" max="13062" width="19.28515625" style="301" customWidth="1"/>
    <col min="13063" max="13063" width="13.28515625" style="301" customWidth="1"/>
    <col min="13064" max="13064" width="14.140625" style="301" customWidth="1"/>
    <col min="13065" max="13066" width="14.42578125" style="301" customWidth="1"/>
    <col min="13067" max="13312" width="9.140625" style="301"/>
    <col min="13313" max="13313" width="5.85546875" style="301" customWidth="1"/>
    <col min="13314" max="13314" width="26.42578125" style="301" customWidth="1"/>
    <col min="13315" max="13316" width="13" style="301" customWidth="1"/>
    <col min="13317" max="13317" width="12.85546875" style="301" customWidth="1"/>
    <col min="13318" max="13318" width="19.28515625" style="301" customWidth="1"/>
    <col min="13319" max="13319" width="13.28515625" style="301" customWidth="1"/>
    <col min="13320" max="13320" width="14.140625" style="301" customWidth="1"/>
    <col min="13321" max="13322" width="14.42578125" style="301" customWidth="1"/>
    <col min="13323" max="13568" width="9.140625" style="301"/>
    <col min="13569" max="13569" width="5.85546875" style="301" customWidth="1"/>
    <col min="13570" max="13570" width="26.42578125" style="301" customWidth="1"/>
    <col min="13571" max="13572" width="13" style="301" customWidth="1"/>
    <col min="13573" max="13573" width="12.85546875" style="301" customWidth="1"/>
    <col min="13574" max="13574" width="19.28515625" style="301" customWidth="1"/>
    <col min="13575" max="13575" width="13.28515625" style="301" customWidth="1"/>
    <col min="13576" max="13576" width="14.140625" style="301" customWidth="1"/>
    <col min="13577" max="13578" width="14.42578125" style="301" customWidth="1"/>
    <col min="13579" max="13824" width="9.140625" style="301"/>
    <col min="13825" max="13825" width="5.85546875" style="301" customWidth="1"/>
    <col min="13826" max="13826" width="26.42578125" style="301" customWidth="1"/>
    <col min="13827" max="13828" width="13" style="301" customWidth="1"/>
    <col min="13829" max="13829" width="12.85546875" style="301" customWidth="1"/>
    <col min="13830" max="13830" width="19.28515625" style="301" customWidth="1"/>
    <col min="13831" max="13831" width="13.28515625" style="301" customWidth="1"/>
    <col min="13832" max="13832" width="14.140625" style="301" customWidth="1"/>
    <col min="13833" max="13834" width="14.42578125" style="301" customWidth="1"/>
    <col min="13835" max="14080" width="9.140625" style="301"/>
    <col min="14081" max="14081" width="5.85546875" style="301" customWidth="1"/>
    <col min="14082" max="14082" width="26.42578125" style="301" customWidth="1"/>
    <col min="14083" max="14084" width="13" style="301" customWidth="1"/>
    <col min="14085" max="14085" width="12.85546875" style="301" customWidth="1"/>
    <col min="14086" max="14086" width="19.28515625" style="301" customWidth="1"/>
    <col min="14087" max="14087" width="13.28515625" style="301" customWidth="1"/>
    <col min="14088" max="14088" width="14.140625" style="301" customWidth="1"/>
    <col min="14089" max="14090" width="14.42578125" style="301" customWidth="1"/>
    <col min="14091" max="14336" width="9.140625" style="301"/>
    <col min="14337" max="14337" width="5.85546875" style="301" customWidth="1"/>
    <col min="14338" max="14338" width="26.42578125" style="301" customWidth="1"/>
    <col min="14339" max="14340" width="13" style="301" customWidth="1"/>
    <col min="14341" max="14341" width="12.85546875" style="301" customWidth="1"/>
    <col min="14342" max="14342" width="19.28515625" style="301" customWidth="1"/>
    <col min="14343" max="14343" width="13.28515625" style="301" customWidth="1"/>
    <col min="14344" max="14344" width="14.140625" style="301" customWidth="1"/>
    <col min="14345" max="14346" width="14.42578125" style="301" customWidth="1"/>
    <col min="14347" max="14592" width="9.140625" style="301"/>
    <col min="14593" max="14593" width="5.85546875" style="301" customWidth="1"/>
    <col min="14594" max="14594" width="26.42578125" style="301" customWidth="1"/>
    <col min="14595" max="14596" width="13" style="301" customWidth="1"/>
    <col min="14597" max="14597" width="12.85546875" style="301" customWidth="1"/>
    <col min="14598" max="14598" width="19.28515625" style="301" customWidth="1"/>
    <col min="14599" max="14599" width="13.28515625" style="301" customWidth="1"/>
    <col min="14600" max="14600" width="14.140625" style="301" customWidth="1"/>
    <col min="14601" max="14602" width="14.42578125" style="301" customWidth="1"/>
    <col min="14603" max="14848" width="9.140625" style="301"/>
    <col min="14849" max="14849" width="5.85546875" style="301" customWidth="1"/>
    <col min="14850" max="14850" width="26.42578125" style="301" customWidth="1"/>
    <col min="14851" max="14852" width="13" style="301" customWidth="1"/>
    <col min="14853" max="14853" width="12.85546875" style="301" customWidth="1"/>
    <col min="14854" max="14854" width="19.28515625" style="301" customWidth="1"/>
    <col min="14855" max="14855" width="13.28515625" style="301" customWidth="1"/>
    <col min="14856" max="14856" width="14.140625" style="301" customWidth="1"/>
    <col min="14857" max="14858" width="14.42578125" style="301" customWidth="1"/>
    <col min="14859" max="15104" width="9.140625" style="301"/>
    <col min="15105" max="15105" width="5.85546875" style="301" customWidth="1"/>
    <col min="15106" max="15106" width="26.42578125" style="301" customWidth="1"/>
    <col min="15107" max="15108" width="13" style="301" customWidth="1"/>
    <col min="15109" max="15109" width="12.85546875" style="301" customWidth="1"/>
    <col min="15110" max="15110" width="19.28515625" style="301" customWidth="1"/>
    <col min="15111" max="15111" width="13.28515625" style="301" customWidth="1"/>
    <col min="15112" max="15112" width="14.140625" style="301" customWidth="1"/>
    <col min="15113" max="15114" width="14.42578125" style="301" customWidth="1"/>
    <col min="15115" max="15360" width="9.140625" style="301"/>
    <col min="15361" max="15361" width="5.85546875" style="301" customWidth="1"/>
    <col min="15362" max="15362" width="26.42578125" style="301" customWidth="1"/>
    <col min="15363" max="15364" width="13" style="301" customWidth="1"/>
    <col min="15365" max="15365" width="12.85546875" style="301" customWidth="1"/>
    <col min="15366" max="15366" width="19.28515625" style="301" customWidth="1"/>
    <col min="15367" max="15367" width="13.28515625" style="301" customWidth="1"/>
    <col min="15368" max="15368" width="14.140625" style="301" customWidth="1"/>
    <col min="15369" max="15370" width="14.42578125" style="301" customWidth="1"/>
    <col min="15371" max="15616" width="9.140625" style="301"/>
    <col min="15617" max="15617" width="5.85546875" style="301" customWidth="1"/>
    <col min="15618" max="15618" width="26.42578125" style="301" customWidth="1"/>
    <col min="15619" max="15620" width="13" style="301" customWidth="1"/>
    <col min="15621" max="15621" width="12.85546875" style="301" customWidth="1"/>
    <col min="15622" max="15622" width="19.28515625" style="301" customWidth="1"/>
    <col min="15623" max="15623" width="13.28515625" style="301" customWidth="1"/>
    <col min="15624" max="15624" width="14.140625" style="301" customWidth="1"/>
    <col min="15625" max="15626" width="14.42578125" style="301" customWidth="1"/>
    <col min="15627" max="15872" width="9.140625" style="301"/>
    <col min="15873" max="15873" width="5.85546875" style="301" customWidth="1"/>
    <col min="15874" max="15874" width="26.42578125" style="301" customWidth="1"/>
    <col min="15875" max="15876" width="13" style="301" customWidth="1"/>
    <col min="15877" max="15877" width="12.85546875" style="301" customWidth="1"/>
    <col min="15878" max="15878" width="19.28515625" style="301" customWidth="1"/>
    <col min="15879" max="15879" width="13.28515625" style="301" customWidth="1"/>
    <col min="15880" max="15880" width="14.140625" style="301" customWidth="1"/>
    <col min="15881" max="15882" width="14.42578125" style="301" customWidth="1"/>
    <col min="15883" max="16128" width="9.140625" style="301"/>
    <col min="16129" max="16129" width="5.85546875" style="301" customWidth="1"/>
    <col min="16130" max="16130" width="26.42578125" style="301" customWidth="1"/>
    <col min="16131" max="16132" width="13" style="301" customWidth="1"/>
    <col min="16133" max="16133" width="12.85546875" style="301" customWidth="1"/>
    <col min="16134" max="16134" width="19.28515625" style="301" customWidth="1"/>
    <col min="16135" max="16135" width="13.28515625" style="301" customWidth="1"/>
    <col min="16136" max="16136" width="14.140625" style="301" customWidth="1"/>
    <col min="16137" max="16138" width="14.42578125" style="301" customWidth="1"/>
    <col min="16139" max="16384" width="9.140625" style="301"/>
  </cols>
  <sheetData>
    <row r="1" spans="1:10" ht="21" customHeight="1">
      <c r="A1" s="299"/>
      <c r="B1" s="299"/>
      <c r="C1" s="300"/>
      <c r="D1" s="300"/>
      <c r="E1" s="300"/>
      <c r="F1" s="300"/>
      <c r="G1" s="300"/>
      <c r="H1" s="300"/>
      <c r="I1" s="1052" t="s">
        <v>669</v>
      </c>
      <c r="J1" s="1052"/>
    </row>
    <row r="2" spans="1:10" ht="39.75" customHeight="1">
      <c r="A2" s="1206" t="s">
        <v>670</v>
      </c>
      <c r="B2" s="1206"/>
      <c r="C2" s="1206"/>
      <c r="D2" s="1206"/>
      <c r="E2" s="1206"/>
      <c r="F2" s="1206"/>
      <c r="G2" s="1206"/>
      <c r="H2" s="1206"/>
      <c r="I2" s="1206"/>
      <c r="J2" s="1206"/>
    </row>
    <row r="3" spans="1:10" ht="18" customHeight="1">
      <c r="A3" s="1051" t="s">
        <v>1210</v>
      </c>
      <c r="B3" s="1051"/>
      <c r="C3" s="1051"/>
      <c r="D3" s="1051"/>
      <c r="E3" s="1051"/>
      <c r="F3" s="1051"/>
      <c r="G3" s="1051"/>
      <c r="H3" s="1051"/>
      <c r="I3" s="1051"/>
      <c r="J3" s="1051"/>
    </row>
    <row r="4" spans="1:10" ht="14.25" customHeight="1">
      <c r="A4" s="302"/>
      <c r="B4" s="302"/>
      <c r="C4" s="300"/>
      <c r="D4" s="300"/>
      <c r="E4" s="300"/>
      <c r="F4" s="300"/>
      <c r="G4" s="300"/>
      <c r="H4" s="300"/>
    </row>
    <row r="5" spans="1:10" ht="29.25" customHeight="1">
      <c r="A5" s="303"/>
      <c r="B5" s="402"/>
      <c r="I5" s="1207" t="s">
        <v>671</v>
      </c>
      <c r="J5" s="1207"/>
    </row>
    <row r="6" spans="1:10" ht="47.25" customHeight="1">
      <c r="A6" s="1205" t="s">
        <v>672</v>
      </c>
      <c r="B6" s="1205" t="s">
        <v>88</v>
      </c>
      <c r="C6" s="1205" t="s">
        <v>673</v>
      </c>
      <c r="D6" s="1205" t="s">
        <v>674</v>
      </c>
      <c r="E6" s="1205"/>
      <c r="F6" s="1205"/>
      <c r="G6" s="1205" t="s">
        <v>675</v>
      </c>
      <c r="H6" s="1205" t="s">
        <v>676</v>
      </c>
      <c r="I6" s="1205" t="s">
        <v>24</v>
      </c>
      <c r="J6" s="1205" t="s">
        <v>677</v>
      </c>
    </row>
    <row r="7" spans="1:10" ht="16.5" customHeight="1">
      <c r="A7" s="1205"/>
      <c r="B7" s="1205"/>
      <c r="C7" s="1205"/>
      <c r="D7" s="1205" t="s">
        <v>89</v>
      </c>
      <c r="E7" s="1205" t="s">
        <v>678</v>
      </c>
      <c r="F7" s="1205"/>
      <c r="G7" s="1205"/>
      <c r="H7" s="1205"/>
      <c r="I7" s="1205"/>
      <c r="J7" s="1205"/>
    </row>
    <row r="8" spans="1:10" ht="123" customHeight="1">
      <c r="A8" s="1205"/>
      <c r="B8" s="1205"/>
      <c r="C8" s="1205"/>
      <c r="D8" s="1205"/>
      <c r="E8" s="388" t="s">
        <v>679</v>
      </c>
      <c r="F8" s="388" t="s">
        <v>680</v>
      </c>
      <c r="G8" s="1205"/>
      <c r="H8" s="1205"/>
      <c r="I8" s="1205"/>
      <c r="J8" s="1205"/>
    </row>
    <row r="9" spans="1:10" ht="32.25" customHeight="1">
      <c r="A9" s="389" t="s">
        <v>10</v>
      </c>
      <c r="B9" s="389" t="s">
        <v>11</v>
      </c>
      <c r="C9" s="389">
        <v>1</v>
      </c>
      <c r="D9" s="389">
        <v>2</v>
      </c>
      <c r="E9" s="389">
        <v>3</v>
      </c>
      <c r="F9" s="389">
        <v>4</v>
      </c>
      <c r="G9" s="389">
        <v>5</v>
      </c>
      <c r="H9" s="389">
        <v>6</v>
      </c>
      <c r="I9" s="389">
        <v>7</v>
      </c>
      <c r="J9" s="389">
        <v>8</v>
      </c>
    </row>
    <row r="10" spans="1:10" ht="29.25" customHeight="1">
      <c r="A10" s="390"/>
      <c r="B10" s="391" t="s">
        <v>102</v>
      </c>
      <c r="C10" s="392">
        <f>SUM(C11:C20)</f>
        <v>5000000</v>
      </c>
      <c r="D10" s="392">
        <f t="shared" ref="D10:J10" si="0">SUM(D11:D20)</f>
        <v>1569703</v>
      </c>
      <c r="E10" s="392">
        <f t="shared" si="0"/>
        <v>806079</v>
      </c>
      <c r="F10" s="392">
        <f t="shared" si="0"/>
        <v>763624</v>
      </c>
      <c r="G10" s="392">
        <f>SUM(G11:G20)</f>
        <v>2504780</v>
      </c>
      <c r="H10" s="392">
        <f t="shared" si="0"/>
        <v>1171639</v>
      </c>
      <c r="I10" s="392">
        <f t="shared" si="0"/>
        <v>0</v>
      </c>
      <c r="J10" s="392">
        <f t="shared" si="0"/>
        <v>5246122</v>
      </c>
    </row>
    <row r="11" spans="1:10" s="396" customFormat="1" ht="34.5" customHeight="1">
      <c r="A11" s="393">
        <v>1</v>
      </c>
      <c r="B11" s="394" t="s">
        <v>613</v>
      </c>
      <c r="C11" s="395">
        <f>'PL31'!H14</f>
        <v>3277221</v>
      </c>
      <c r="D11" s="395">
        <f>E11+F11</f>
        <v>626387</v>
      </c>
      <c r="E11" s="395">
        <v>370596</v>
      </c>
      <c r="F11" s="395">
        <v>255791</v>
      </c>
      <c r="G11" s="395">
        <v>282230</v>
      </c>
      <c r="H11" s="395">
        <v>241716</v>
      </c>
      <c r="I11" s="395"/>
      <c r="J11" s="395">
        <f>ROUND(D11+G11+H11,0)</f>
        <v>1150333</v>
      </c>
    </row>
    <row r="12" spans="1:10" ht="27.75" customHeight="1">
      <c r="A12" s="393">
        <v>2</v>
      </c>
      <c r="B12" s="394" t="s">
        <v>612</v>
      </c>
      <c r="C12" s="395">
        <v>150100</v>
      </c>
      <c r="D12" s="395">
        <f t="shared" ref="D12:D20" si="1">E12+F12</f>
        <v>60246</v>
      </c>
      <c r="E12" s="395">
        <v>32723</v>
      </c>
      <c r="F12" s="395">
        <v>27523</v>
      </c>
      <c r="G12" s="395">
        <v>379860</v>
      </c>
      <c r="H12" s="395">
        <v>162342</v>
      </c>
      <c r="I12" s="395"/>
      <c r="J12" s="395">
        <f t="shared" ref="J12:J20" si="2">ROUND(D12+G12+H12,0)</f>
        <v>602448</v>
      </c>
    </row>
    <row r="13" spans="1:10" ht="27.75" customHeight="1">
      <c r="A13" s="393">
        <v>3</v>
      </c>
      <c r="B13" s="394" t="s">
        <v>611</v>
      </c>
      <c r="C13" s="395">
        <v>148100</v>
      </c>
      <c r="D13" s="395">
        <f t="shared" si="1"/>
        <v>107226</v>
      </c>
      <c r="E13" s="395">
        <v>29098</v>
      </c>
      <c r="F13" s="395">
        <v>78128</v>
      </c>
      <c r="G13" s="395">
        <v>263291</v>
      </c>
      <c r="H13" s="395">
        <v>118690</v>
      </c>
      <c r="I13" s="395"/>
      <c r="J13" s="395">
        <f t="shared" si="2"/>
        <v>489207</v>
      </c>
    </row>
    <row r="14" spans="1:10" ht="27.75" customHeight="1">
      <c r="A14" s="393">
        <v>4</v>
      </c>
      <c r="B14" s="394" t="s">
        <v>681</v>
      </c>
      <c r="C14" s="395">
        <f>'PL31'!H17</f>
        <v>486579</v>
      </c>
      <c r="D14" s="395">
        <f t="shared" si="1"/>
        <v>115908</v>
      </c>
      <c r="E14" s="395">
        <v>42954</v>
      </c>
      <c r="F14" s="395">
        <v>72954</v>
      </c>
      <c r="G14" s="395">
        <v>246769</v>
      </c>
      <c r="H14" s="395">
        <v>101939</v>
      </c>
      <c r="I14" s="395"/>
      <c r="J14" s="395">
        <f>ROUND(D14+G14+H14,0)</f>
        <v>464616</v>
      </c>
    </row>
    <row r="15" spans="1:10" ht="27.75" customHeight="1">
      <c r="A15" s="393">
        <v>5</v>
      </c>
      <c r="B15" s="394" t="s">
        <v>609</v>
      </c>
      <c r="C15" s="395">
        <v>26500</v>
      </c>
      <c r="D15" s="395">
        <f t="shared" si="1"/>
        <v>19631</v>
      </c>
      <c r="E15" s="395">
        <v>9004</v>
      </c>
      <c r="F15" s="395">
        <v>10627</v>
      </c>
      <c r="G15" s="395">
        <v>406223</v>
      </c>
      <c r="H15" s="395">
        <v>129818</v>
      </c>
      <c r="I15" s="395"/>
      <c r="J15" s="395">
        <f t="shared" si="2"/>
        <v>555672</v>
      </c>
    </row>
    <row r="16" spans="1:10" ht="27.75" customHeight="1">
      <c r="A16" s="393">
        <v>6</v>
      </c>
      <c r="B16" s="394" t="s">
        <v>608</v>
      </c>
      <c r="C16" s="395">
        <v>129400</v>
      </c>
      <c r="D16" s="395">
        <f t="shared" si="1"/>
        <v>101035</v>
      </c>
      <c r="E16" s="395">
        <v>23133</v>
      </c>
      <c r="F16" s="395">
        <v>77902</v>
      </c>
      <c r="G16" s="395">
        <v>307859</v>
      </c>
      <c r="H16" s="395">
        <v>117132</v>
      </c>
      <c r="I16" s="395"/>
      <c r="J16" s="395">
        <f t="shared" si="2"/>
        <v>526026</v>
      </c>
    </row>
    <row r="17" spans="1:10" ht="27.75" customHeight="1">
      <c r="A17" s="393">
        <v>7</v>
      </c>
      <c r="B17" s="394" t="s">
        <v>607</v>
      </c>
      <c r="C17" s="395">
        <v>95800</v>
      </c>
      <c r="D17" s="395">
        <f t="shared" si="1"/>
        <v>44339</v>
      </c>
      <c r="E17" s="395">
        <v>14978</v>
      </c>
      <c r="F17" s="395">
        <v>29361</v>
      </c>
      <c r="G17" s="395">
        <v>97410</v>
      </c>
      <c r="H17" s="395">
        <v>27016</v>
      </c>
      <c r="I17" s="395"/>
      <c r="J17" s="395">
        <f t="shared" si="2"/>
        <v>168765</v>
      </c>
    </row>
    <row r="18" spans="1:10" ht="27.75" customHeight="1">
      <c r="A18" s="393">
        <v>8</v>
      </c>
      <c r="B18" s="394" t="s">
        <v>606</v>
      </c>
      <c r="C18" s="395">
        <v>87200</v>
      </c>
      <c r="D18" s="395">
        <f t="shared" si="1"/>
        <v>67405</v>
      </c>
      <c r="E18" s="395">
        <v>22950</v>
      </c>
      <c r="F18" s="395">
        <v>44455</v>
      </c>
      <c r="G18" s="395">
        <v>200844</v>
      </c>
      <c r="H18" s="395">
        <v>82760</v>
      </c>
      <c r="I18" s="395"/>
      <c r="J18" s="395">
        <f t="shared" si="2"/>
        <v>351009</v>
      </c>
    </row>
    <row r="19" spans="1:10" ht="27.75" customHeight="1">
      <c r="A19" s="393">
        <v>9</v>
      </c>
      <c r="B19" s="394" t="s">
        <v>682</v>
      </c>
      <c r="C19" s="395">
        <v>539200</v>
      </c>
      <c r="D19" s="395">
        <f t="shared" si="1"/>
        <v>383069</v>
      </c>
      <c r="E19" s="395">
        <v>240205</v>
      </c>
      <c r="F19" s="395">
        <v>142864</v>
      </c>
      <c r="G19" s="395">
        <v>30820</v>
      </c>
      <c r="H19" s="395">
        <v>89749</v>
      </c>
      <c r="I19" s="395"/>
      <c r="J19" s="395">
        <f t="shared" si="2"/>
        <v>503638</v>
      </c>
    </row>
    <row r="20" spans="1:10" ht="27.75" customHeight="1">
      <c r="A20" s="393">
        <v>10</v>
      </c>
      <c r="B20" s="394" t="s">
        <v>604</v>
      </c>
      <c r="C20" s="395">
        <v>59900</v>
      </c>
      <c r="D20" s="395">
        <f t="shared" si="1"/>
        <v>44457</v>
      </c>
      <c r="E20" s="395">
        <v>20438</v>
      </c>
      <c r="F20" s="395">
        <v>24019</v>
      </c>
      <c r="G20" s="395">
        <v>289474</v>
      </c>
      <c r="H20" s="395">
        <v>100477</v>
      </c>
      <c r="I20" s="395"/>
      <c r="J20" s="395">
        <f t="shared" si="2"/>
        <v>434408</v>
      </c>
    </row>
    <row r="21" spans="1:10" ht="9" customHeight="1">
      <c r="A21" s="397"/>
      <c r="B21" s="398"/>
      <c r="C21" s="399"/>
      <c r="D21" s="399"/>
      <c r="E21" s="399"/>
      <c r="F21" s="399"/>
      <c r="G21" s="399"/>
      <c r="H21" s="399"/>
      <c r="I21" s="399"/>
      <c r="J21" s="400"/>
    </row>
    <row r="22" spans="1:10" ht="27.75" customHeight="1">
      <c r="A22" s="401" t="s">
        <v>683</v>
      </c>
      <c r="B22" s="401"/>
      <c r="C22" s="401"/>
      <c r="D22" s="401"/>
      <c r="E22" s="401"/>
      <c r="F22" s="401"/>
      <c r="G22" s="401"/>
      <c r="H22" s="401"/>
      <c r="I22" s="401"/>
      <c r="J22" s="401"/>
    </row>
    <row r="28" spans="1:10" ht="22.5" customHeight="1"/>
  </sheetData>
  <mergeCells count="14">
    <mergeCell ref="I6:I8"/>
    <mergeCell ref="J6:J8"/>
    <mergeCell ref="D7:D8"/>
    <mergeCell ref="E7:F7"/>
    <mergeCell ref="I1:J1"/>
    <mergeCell ref="A2:J2"/>
    <mergeCell ref="A3:J3"/>
    <mergeCell ref="I5:J5"/>
    <mergeCell ref="A6:A8"/>
    <mergeCell ref="B6:B8"/>
    <mergeCell ref="C6:C8"/>
    <mergeCell ref="D6:F6"/>
    <mergeCell ref="G6:G8"/>
    <mergeCell ref="H6:H8"/>
  </mergeCells>
  <printOptions horizontalCentered="1"/>
  <pageMargins left="0.31" right="0.39" top="0.78" bottom="0.6" header="0.53" footer="0.2"/>
  <pageSetup paperSize="9" scale="67" fitToHeight="5" orientation="portrait" r:id="rId1"/>
  <headerFooter alignWithMargins="0">
    <oddHeader xml:space="preserve">&amp;C
</oddHeader>
    <oddFooter>&amp;C&amp;".VnTime,  Italic"&amp;8
&amp;".VnTimeH,Regular"&amp;12&amp;P/&amp;N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38"/>
  <sheetViews>
    <sheetView showZeros="0" zoomScale="70" zoomScaleNormal="70" workbookViewId="0">
      <selection activeCell="W3" sqref="W3"/>
    </sheetView>
  </sheetViews>
  <sheetFormatPr defaultRowHeight="15.75"/>
  <cols>
    <col min="1" max="1" width="5.85546875" style="263" customWidth="1"/>
    <col min="2" max="2" width="35.85546875" style="263" customWidth="1"/>
    <col min="3" max="3" width="14" style="263" customWidth="1"/>
    <col min="4" max="4" width="13.5703125" style="263" customWidth="1"/>
    <col min="5" max="5" width="10.5703125" style="263" customWidth="1"/>
    <col min="6" max="7" width="8.5703125" style="263" customWidth="1"/>
    <col min="8" max="8" width="11.7109375" style="263" customWidth="1"/>
    <col min="9" max="9" width="9.28515625" style="263" customWidth="1"/>
    <col min="10" max="10" width="10.5703125" style="263" customWidth="1"/>
    <col min="11" max="11" width="25.85546875" style="263" customWidth="1"/>
    <col min="12" max="12" width="13.28515625" style="263" customWidth="1"/>
    <col min="13" max="13" width="13" style="263" customWidth="1"/>
    <col min="14" max="14" width="11.28515625" style="263" customWidth="1"/>
    <col min="15" max="15" width="10.7109375" style="263" customWidth="1"/>
    <col min="16" max="16" width="12.5703125" style="263" customWidth="1"/>
    <col min="17" max="17" width="10.7109375" style="263" customWidth="1"/>
    <col min="18" max="18" width="10.5703125" style="263" customWidth="1"/>
    <col min="19" max="19" width="12.5703125" style="263" customWidth="1"/>
    <col min="20" max="21" width="10.5703125" style="263" customWidth="1"/>
    <col min="22" max="22" width="10.7109375" style="263" customWidth="1"/>
    <col min="23" max="256" width="9.140625" style="263"/>
    <col min="257" max="257" width="5.85546875" style="263" customWidth="1"/>
    <col min="258" max="258" width="35.85546875" style="263" customWidth="1"/>
    <col min="259" max="259" width="14" style="263" customWidth="1"/>
    <col min="260" max="260" width="13.5703125" style="263" customWidth="1"/>
    <col min="261" max="261" width="10.5703125" style="263" customWidth="1"/>
    <col min="262" max="263" width="8.5703125" style="263" customWidth="1"/>
    <col min="264" max="264" width="11.7109375" style="263" customWidth="1"/>
    <col min="265" max="265" width="9.28515625" style="263" customWidth="1"/>
    <col min="266" max="266" width="10.5703125" style="263" customWidth="1"/>
    <col min="267" max="267" width="25.85546875" style="263" customWidth="1"/>
    <col min="268" max="268" width="13.28515625" style="263" customWidth="1"/>
    <col min="269" max="269" width="13" style="263" customWidth="1"/>
    <col min="270" max="270" width="11.28515625" style="263" customWidth="1"/>
    <col min="271" max="271" width="10.7109375" style="263" customWidth="1"/>
    <col min="272" max="272" width="12.5703125" style="263" customWidth="1"/>
    <col min="273" max="273" width="10.7109375" style="263" customWidth="1"/>
    <col min="274" max="274" width="10.5703125" style="263" customWidth="1"/>
    <col min="275" max="275" width="12.5703125" style="263" customWidth="1"/>
    <col min="276" max="277" width="10.5703125" style="263" customWidth="1"/>
    <col min="278" max="278" width="10.7109375" style="263" customWidth="1"/>
    <col min="279" max="512" width="9.140625" style="263"/>
    <col min="513" max="513" width="5.85546875" style="263" customWidth="1"/>
    <col min="514" max="514" width="35.85546875" style="263" customWidth="1"/>
    <col min="515" max="515" width="14" style="263" customWidth="1"/>
    <col min="516" max="516" width="13.5703125" style="263" customWidth="1"/>
    <col min="517" max="517" width="10.5703125" style="263" customWidth="1"/>
    <col min="518" max="519" width="8.5703125" style="263" customWidth="1"/>
    <col min="520" max="520" width="11.7109375" style="263" customWidth="1"/>
    <col min="521" max="521" width="9.28515625" style="263" customWidth="1"/>
    <col min="522" max="522" width="10.5703125" style="263" customWidth="1"/>
    <col min="523" max="523" width="25.85546875" style="263" customWidth="1"/>
    <col min="524" max="524" width="13.28515625" style="263" customWidth="1"/>
    <col min="525" max="525" width="13" style="263" customWidth="1"/>
    <col min="526" max="526" width="11.28515625" style="263" customWidth="1"/>
    <col min="527" max="527" width="10.7109375" style="263" customWidth="1"/>
    <col min="528" max="528" width="12.5703125" style="263" customWidth="1"/>
    <col min="529" max="529" width="10.7109375" style="263" customWidth="1"/>
    <col min="530" max="530" width="10.5703125" style="263" customWidth="1"/>
    <col min="531" max="531" width="12.5703125" style="263" customWidth="1"/>
    <col min="532" max="533" width="10.5703125" style="263" customWidth="1"/>
    <col min="534" max="534" width="10.7109375" style="263" customWidth="1"/>
    <col min="535" max="768" width="9.140625" style="263"/>
    <col min="769" max="769" width="5.85546875" style="263" customWidth="1"/>
    <col min="770" max="770" width="35.85546875" style="263" customWidth="1"/>
    <col min="771" max="771" width="14" style="263" customWidth="1"/>
    <col min="772" max="772" width="13.5703125" style="263" customWidth="1"/>
    <col min="773" max="773" width="10.5703125" style="263" customWidth="1"/>
    <col min="774" max="775" width="8.5703125" style="263" customWidth="1"/>
    <col min="776" max="776" width="11.7109375" style="263" customWidth="1"/>
    <col min="777" max="777" width="9.28515625" style="263" customWidth="1"/>
    <col min="778" max="778" width="10.5703125" style="263" customWidth="1"/>
    <col min="779" max="779" width="25.85546875" style="263" customWidth="1"/>
    <col min="780" max="780" width="13.28515625" style="263" customWidth="1"/>
    <col min="781" max="781" width="13" style="263" customWidth="1"/>
    <col min="782" max="782" width="11.28515625" style="263" customWidth="1"/>
    <col min="783" max="783" width="10.7109375" style="263" customWidth="1"/>
    <col min="784" max="784" width="12.5703125" style="263" customWidth="1"/>
    <col min="785" max="785" width="10.7109375" style="263" customWidth="1"/>
    <col min="786" max="786" width="10.5703125" style="263" customWidth="1"/>
    <col min="787" max="787" width="12.5703125" style="263" customWidth="1"/>
    <col min="788" max="789" width="10.5703125" style="263" customWidth="1"/>
    <col min="790" max="790" width="10.7109375" style="263" customWidth="1"/>
    <col min="791" max="1024" width="9.140625" style="263"/>
    <col min="1025" max="1025" width="5.85546875" style="263" customWidth="1"/>
    <col min="1026" max="1026" width="35.85546875" style="263" customWidth="1"/>
    <col min="1027" max="1027" width="14" style="263" customWidth="1"/>
    <col min="1028" max="1028" width="13.5703125" style="263" customWidth="1"/>
    <col min="1029" max="1029" width="10.5703125" style="263" customWidth="1"/>
    <col min="1030" max="1031" width="8.5703125" style="263" customWidth="1"/>
    <col min="1032" max="1032" width="11.7109375" style="263" customWidth="1"/>
    <col min="1033" max="1033" width="9.28515625" style="263" customWidth="1"/>
    <col min="1034" max="1034" width="10.5703125" style="263" customWidth="1"/>
    <col min="1035" max="1035" width="25.85546875" style="263" customWidth="1"/>
    <col min="1036" max="1036" width="13.28515625" style="263" customWidth="1"/>
    <col min="1037" max="1037" width="13" style="263" customWidth="1"/>
    <col min="1038" max="1038" width="11.28515625" style="263" customWidth="1"/>
    <col min="1039" max="1039" width="10.7109375" style="263" customWidth="1"/>
    <col min="1040" max="1040" width="12.5703125" style="263" customWidth="1"/>
    <col min="1041" max="1041" width="10.7109375" style="263" customWidth="1"/>
    <col min="1042" max="1042" width="10.5703125" style="263" customWidth="1"/>
    <col min="1043" max="1043" width="12.5703125" style="263" customWidth="1"/>
    <col min="1044" max="1045" width="10.5703125" style="263" customWidth="1"/>
    <col min="1046" max="1046" width="10.7109375" style="263" customWidth="1"/>
    <col min="1047" max="1280" width="9.140625" style="263"/>
    <col min="1281" max="1281" width="5.85546875" style="263" customWidth="1"/>
    <col min="1282" max="1282" width="35.85546875" style="263" customWidth="1"/>
    <col min="1283" max="1283" width="14" style="263" customWidth="1"/>
    <col min="1284" max="1284" width="13.5703125" style="263" customWidth="1"/>
    <col min="1285" max="1285" width="10.5703125" style="263" customWidth="1"/>
    <col min="1286" max="1287" width="8.5703125" style="263" customWidth="1"/>
    <col min="1288" max="1288" width="11.7109375" style="263" customWidth="1"/>
    <col min="1289" max="1289" width="9.28515625" style="263" customWidth="1"/>
    <col min="1290" max="1290" width="10.5703125" style="263" customWidth="1"/>
    <col min="1291" max="1291" width="25.85546875" style="263" customWidth="1"/>
    <col min="1292" max="1292" width="13.28515625" style="263" customWidth="1"/>
    <col min="1293" max="1293" width="13" style="263" customWidth="1"/>
    <col min="1294" max="1294" width="11.28515625" style="263" customWidth="1"/>
    <col min="1295" max="1295" width="10.7109375" style="263" customWidth="1"/>
    <col min="1296" max="1296" width="12.5703125" style="263" customWidth="1"/>
    <col min="1297" max="1297" width="10.7109375" style="263" customWidth="1"/>
    <col min="1298" max="1298" width="10.5703125" style="263" customWidth="1"/>
    <col min="1299" max="1299" width="12.5703125" style="263" customWidth="1"/>
    <col min="1300" max="1301" width="10.5703125" style="263" customWidth="1"/>
    <col min="1302" max="1302" width="10.7109375" style="263" customWidth="1"/>
    <col min="1303" max="1536" width="9.140625" style="263"/>
    <col min="1537" max="1537" width="5.85546875" style="263" customWidth="1"/>
    <col min="1538" max="1538" width="35.85546875" style="263" customWidth="1"/>
    <col min="1539" max="1539" width="14" style="263" customWidth="1"/>
    <col min="1540" max="1540" width="13.5703125" style="263" customWidth="1"/>
    <col min="1541" max="1541" width="10.5703125" style="263" customWidth="1"/>
    <col min="1542" max="1543" width="8.5703125" style="263" customWidth="1"/>
    <col min="1544" max="1544" width="11.7109375" style="263" customWidth="1"/>
    <col min="1545" max="1545" width="9.28515625" style="263" customWidth="1"/>
    <col min="1546" max="1546" width="10.5703125" style="263" customWidth="1"/>
    <col min="1547" max="1547" width="25.85546875" style="263" customWidth="1"/>
    <col min="1548" max="1548" width="13.28515625" style="263" customWidth="1"/>
    <col min="1549" max="1549" width="13" style="263" customWidth="1"/>
    <col min="1550" max="1550" width="11.28515625" style="263" customWidth="1"/>
    <col min="1551" max="1551" width="10.7109375" style="263" customWidth="1"/>
    <col min="1552" max="1552" width="12.5703125" style="263" customWidth="1"/>
    <col min="1553" max="1553" width="10.7109375" style="263" customWidth="1"/>
    <col min="1554" max="1554" width="10.5703125" style="263" customWidth="1"/>
    <col min="1555" max="1555" width="12.5703125" style="263" customWidth="1"/>
    <col min="1556" max="1557" width="10.5703125" style="263" customWidth="1"/>
    <col min="1558" max="1558" width="10.7109375" style="263" customWidth="1"/>
    <col min="1559" max="1792" width="9.140625" style="263"/>
    <col min="1793" max="1793" width="5.85546875" style="263" customWidth="1"/>
    <col min="1794" max="1794" width="35.85546875" style="263" customWidth="1"/>
    <col min="1795" max="1795" width="14" style="263" customWidth="1"/>
    <col min="1796" max="1796" width="13.5703125" style="263" customWidth="1"/>
    <col min="1797" max="1797" width="10.5703125" style="263" customWidth="1"/>
    <col min="1798" max="1799" width="8.5703125" style="263" customWidth="1"/>
    <col min="1800" max="1800" width="11.7109375" style="263" customWidth="1"/>
    <col min="1801" max="1801" width="9.28515625" style="263" customWidth="1"/>
    <col min="1802" max="1802" width="10.5703125" style="263" customWidth="1"/>
    <col min="1803" max="1803" width="25.85546875" style="263" customWidth="1"/>
    <col min="1804" max="1804" width="13.28515625" style="263" customWidth="1"/>
    <col min="1805" max="1805" width="13" style="263" customWidth="1"/>
    <col min="1806" max="1806" width="11.28515625" style="263" customWidth="1"/>
    <col min="1807" max="1807" width="10.7109375" style="263" customWidth="1"/>
    <col min="1808" max="1808" width="12.5703125" style="263" customWidth="1"/>
    <col min="1809" max="1809" width="10.7109375" style="263" customWidth="1"/>
    <col min="1810" max="1810" width="10.5703125" style="263" customWidth="1"/>
    <col min="1811" max="1811" width="12.5703125" style="263" customWidth="1"/>
    <col min="1812" max="1813" width="10.5703125" style="263" customWidth="1"/>
    <col min="1814" max="1814" width="10.7109375" style="263" customWidth="1"/>
    <col min="1815" max="2048" width="9.140625" style="263"/>
    <col min="2049" max="2049" width="5.85546875" style="263" customWidth="1"/>
    <col min="2050" max="2050" width="35.85546875" style="263" customWidth="1"/>
    <col min="2051" max="2051" width="14" style="263" customWidth="1"/>
    <col min="2052" max="2052" width="13.5703125" style="263" customWidth="1"/>
    <col min="2053" max="2053" width="10.5703125" style="263" customWidth="1"/>
    <col min="2054" max="2055" width="8.5703125" style="263" customWidth="1"/>
    <col min="2056" max="2056" width="11.7109375" style="263" customWidth="1"/>
    <col min="2057" max="2057" width="9.28515625" style="263" customWidth="1"/>
    <col min="2058" max="2058" width="10.5703125" style="263" customWidth="1"/>
    <col min="2059" max="2059" width="25.85546875" style="263" customWidth="1"/>
    <col min="2060" max="2060" width="13.28515625" style="263" customWidth="1"/>
    <col min="2061" max="2061" width="13" style="263" customWidth="1"/>
    <col min="2062" max="2062" width="11.28515625" style="263" customWidth="1"/>
    <col min="2063" max="2063" width="10.7109375" style="263" customWidth="1"/>
    <col min="2064" max="2064" width="12.5703125" style="263" customWidth="1"/>
    <col min="2065" max="2065" width="10.7109375" style="263" customWidth="1"/>
    <col min="2066" max="2066" width="10.5703125" style="263" customWidth="1"/>
    <col min="2067" max="2067" width="12.5703125" style="263" customWidth="1"/>
    <col min="2068" max="2069" width="10.5703125" style="263" customWidth="1"/>
    <col min="2070" max="2070" width="10.7109375" style="263" customWidth="1"/>
    <col min="2071" max="2304" width="9.140625" style="263"/>
    <col min="2305" max="2305" width="5.85546875" style="263" customWidth="1"/>
    <col min="2306" max="2306" width="35.85546875" style="263" customWidth="1"/>
    <col min="2307" max="2307" width="14" style="263" customWidth="1"/>
    <col min="2308" max="2308" width="13.5703125" style="263" customWidth="1"/>
    <col min="2309" max="2309" width="10.5703125" style="263" customWidth="1"/>
    <col min="2310" max="2311" width="8.5703125" style="263" customWidth="1"/>
    <col min="2312" max="2312" width="11.7109375" style="263" customWidth="1"/>
    <col min="2313" max="2313" width="9.28515625" style="263" customWidth="1"/>
    <col min="2314" max="2314" width="10.5703125" style="263" customWidth="1"/>
    <col min="2315" max="2315" width="25.85546875" style="263" customWidth="1"/>
    <col min="2316" max="2316" width="13.28515625" style="263" customWidth="1"/>
    <col min="2317" max="2317" width="13" style="263" customWidth="1"/>
    <col min="2318" max="2318" width="11.28515625" style="263" customWidth="1"/>
    <col min="2319" max="2319" width="10.7109375" style="263" customWidth="1"/>
    <col min="2320" max="2320" width="12.5703125" style="263" customWidth="1"/>
    <col min="2321" max="2321" width="10.7109375" style="263" customWidth="1"/>
    <col min="2322" max="2322" width="10.5703125" style="263" customWidth="1"/>
    <col min="2323" max="2323" width="12.5703125" style="263" customWidth="1"/>
    <col min="2324" max="2325" width="10.5703125" style="263" customWidth="1"/>
    <col min="2326" max="2326" width="10.7109375" style="263" customWidth="1"/>
    <col min="2327" max="2560" width="9.140625" style="263"/>
    <col min="2561" max="2561" width="5.85546875" style="263" customWidth="1"/>
    <col min="2562" max="2562" width="35.85546875" style="263" customWidth="1"/>
    <col min="2563" max="2563" width="14" style="263" customWidth="1"/>
    <col min="2564" max="2564" width="13.5703125" style="263" customWidth="1"/>
    <col min="2565" max="2565" width="10.5703125" style="263" customWidth="1"/>
    <col min="2566" max="2567" width="8.5703125" style="263" customWidth="1"/>
    <col min="2568" max="2568" width="11.7109375" style="263" customWidth="1"/>
    <col min="2569" max="2569" width="9.28515625" style="263" customWidth="1"/>
    <col min="2570" max="2570" width="10.5703125" style="263" customWidth="1"/>
    <col min="2571" max="2571" width="25.85546875" style="263" customWidth="1"/>
    <col min="2572" max="2572" width="13.28515625" style="263" customWidth="1"/>
    <col min="2573" max="2573" width="13" style="263" customWidth="1"/>
    <col min="2574" max="2574" width="11.28515625" style="263" customWidth="1"/>
    <col min="2575" max="2575" width="10.7109375" style="263" customWidth="1"/>
    <col min="2576" max="2576" width="12.5703125" style="263" customWidth="1"/>
    <col min="2577" max="2577" width="10.7109375" style="263" customWidth="1"/>
    <col min="2578" max="2578" width="10.5703125" style="263" customWidth="1"/>
    <col min="2579" max="2579" width="12.5703125" style="263" customWidth="1"/>
    <col min="2580" max="2581" width="10.5703125" style="263" customWidth="1"/>
    <col min="2582" max="2582" width="10.7109375" style="263" customWidth="1"/>
    <col min="2583" max="2816" width="9.140625" style="263"/>
    <col min="2817" max="2817" width="5.85546875" style="263" customWidth="1"/>
    <col min="2818" max="2818" width="35.85546875" style="263" customWidth="1"/>
    <col min="2819" max="2819" width="14" style="263" customWidth="1"/>
    <col min="2820" max="2820" width="13.5703125" style="263" customWidth="1"/>
    <col min="2821" max="2821" width="10.5703125" style="263" customWidth="1"/>
    <col min="2822" max="2823" width="8.5703125" style="263" customWidth="1"/>
    <col min="2824" max="2824" width="11.7109375" style="263" customWidth="1"/>
    <col min="2825" max="2825" width="9.28515625" style="263" customWidth="1"/>
    <col min="2826" max="2826" width="10.5703125" style="263" customWidth="1"/>
    <col min="2827" max="2827" width="25.85546875" style="263" customWidth="1"/>
    <col min="2828" max="2828" width="13.28515625" style="263" customWidth="1"/>
    <col min="2829" max="2829" width="13" style="263" customWidth="1"/>
    <col min="2830" max="2830" width="11.28515625" style="263" customWidth="1"/>
    <col min="2831" max="2831" width="10.7109375" style="263" customWidth="1"/>
    <col min="2832" max="2832" width="12.5703125" style="263" customWidth="1"/>
    <col min="2833" max="2833" width="10.7109375" style="263" customWidth="1"/>
    <col min="2834" max="2834" width="10.5703125" style="263" customWidth="1"/>
    <col min="2835" max="2835" width="12.5703125" style="263" customWidth="1"/>
    <col min="2836" max="2837" width="10.5703125" style="263" customWidth="1"/>
    <col min="2838" max="2838" width="10.7109375" style="263" customWidth="1"/>
    <col min="2839" max="3072" width="9.140625" style="263"/>
    <col min="3073" max="3073" width="5.85546875" style="263" customWidth="1"/>
    <col min="3074" max="3074" width="35.85546875" style="263" customWidth="1"/>
    <col min="3075" max="3075" width="14" style="263" customWidth="1"/>
    <col min="3076" max="3076" width="13.5703125" style="263" customWidth="1"/>
    <col min="3077" max="3077" width="10.5703125" style="263" customWidth="1"/>
    <col min="3078" max="3079" width="8.5703125" style="263" customWidth="1"/>
    <col min="3080" max="3080" width="11.7109375" style="263" customWidth="1"/>
    <col min="3081" max="3081" width="9.28515625" style="263" customWidth="1"/>
    <col min="3082" max="3082" width="10.5703125" style="263" customWidth="1"/>
    <col min="3083" max="3083" width="25.85546875" style="263" customWidth="1"/>
    <col min="3084" max="3084" width="13.28515625" style="263" customWidth="1"/>
    <col min="3085" max="3085" width="13" style="263" customWidth="1"/>
    <col min="3086" max="3086" width="11.28515625" style="263" customWidth="1"/>
    <col min="3087" max="3087" width="10.7109375" style="263" customWidth="1"/>
    <col min="3088" max="3088" width="12.5703125" style="263" customWidth="1"/>
    <col min="3089" max="3089" width="10.7109375" style="263" customWidth="1"/>
    <col min="3090" max="3090" width="10.5703125" style="263" customWidth="1"/>
    <col min="3091" max="3091" width="12.5703125" style="263" customWidth="1"/>
    <col min="3092" max="3093" width="10.5703125" style="263" customWidth="1"/>
    <col min="3094" max="3094" width="10.7109375" style="263" customWidth="1"/>
    <col min="3095" max="3328" width="9.140625" style="263"/>
    <col min="3329" max="3329" width="5.85546875" style="263" customWidth="1"/>
    <col min="3330" max="3330" width="35.85546875" style="263" customWidth="1"/>
    <col min="3331" max="3331" width="14" style="263" customWidth="1"/>
    <col min="3332" max="3332" width="13.5703125" style="263" customWidth="1"/>
    <col min="3333" max="3333" width="10.5703125" style="263" customWidth="1"/>
    <col min="3334" max="3335" width="8.5703125" style="263" customWidth="1"/>
    <col min="3336" max="3336" width="11.7109375" style="263" customWidth="1"/>
    <col min="3337" max="3337" width="9.28515625" style="263" customWidth="1"/>
    <col min="3338" max="3338" width="10.5703125" style="263" customWidth="1"/>
    <col min="3339" max="3339" width="25.85546875" style="263" customWidth="1"/>
    <col min="3340" max="3340" width="13.28515625" style="263" customWidth="1"/>
    <col min="3341" max="3341" width="13" style="263" customWidth="1"/>
    <col min="3342" max="3342" width="11.28515625" style="263" customWidth="1"/>
    <col min="3343" max="3343" width="10.7109375" style="263" customWidth="1"/>
    <col min="3344" max="3344" width="12.5703125" style="263" customWidth="1"/>
    <col min="3345" max="3345" width="10.7109375" style="263" customWidth="1"/>
    <col min="3346" max="3346" width="10.5703125" style="263" customWidth="1"/>
    <col min="3347" max="3347" width="12.5703125" style="263" customWidth="1"/>
    <col min="3348" max="3349" width="10.5703125" style="263" customWidth="1"/>
    <col min="3350" max="3350" width="10.7109375" style="263" customWidth="1"/>
    <col min="3351" max="3584" width="9.140625" style="263"/>
    <col min="3585" max="3585" width="5.85546875" style="263" customWidth="1"/>
    <col min="3586" max="3586" width="35.85546875" style="263" customWidth="1"/>
    <col min="3587" max="3587" width="14" style="263" customWidth="1"/>
    <col min="3588" max="3588" width="13.5703125" style="263" customWidth="1"/>
    <col min="3589" max="3589" width="10.5703125" style="263" customWidth="1"/>
    <col min="3590" max="3591" width="8.5703125" style="263" customWidth="1"/>
    <col min="3592" max="3592" width="11.7109375" style="263" customWidth="1"/>
    <col min="3593" max="3593" width="9.28515625" style="263" customWidth="1"/>
    <col min="3594" max="3594" width="10.5703125" style="263" customWidth="1"/>
    <col min="3595" max="3595" width="25.85546875" style="263" customWidth="1"/>
    <col min="3596" max="3596" width="13.28515625" style="263" customWidth="1"/>
    <col min="3597" max="3597" width="13" style="263" customWidth="1"/>
    <col min="3598" max="3598" width="11.28515625" style="263" customWidth="1"/>
    <col min="3599" max="3599" width="10.7109375" style="263" customWidth="1"/>
    <col min="3600" max="3600" width="12.5703125" style="263" customWidth="1"/>
    <col min="3601" max="3601" width="10.7109375" style="263" customWidth="1"/>
    <col min="3602" max="3602" width="10.5703125" style="263" customWidth="1"/>
    <col min="3603" max="3603" width="12.5703125" style="263" customWidth="1"/>
    <col min="3604" max="3605" width="10.5703125" style="263" customWidth="1"/>
    <col min="3606" max="3606" width="10.7109375" style="263" customWidth="1"/>
    <col min="3607" max="3840" width="9.140625" style="263"/>
    <col min="3841" max="3841" width="5.85546875" style="263" customWidth="1"/>
    <col min="3842" max="3842" width="35.85546875" style="263" customWidth="1"/>
    <col min="3843" max="3843" width="14" style="263" customWidth="1"/>
    <col min="3844" max="3844" width="13.5703125" style="263" customWidth="1"/>
    <col min="3845" max="3845" width="10.5703125" style="263" customWidth="1"/>
    <col min="3846" max="3847" width="8.5703125" style="263" customWidth="1"/>
    <col min="3848" max="3848" width="11.7109375" style="263" customWidth="1"/>
    <col min="3849" max="3849" width="9.28515625" style="263" customWidth="1"/>
    <col min="3850" max="3850" width="10.5703125" style="263" customWidth="1"/>
    <col min="3851" max="3851" width="25.85546875" style="263" customWidth="1"/>
    <col min="3852" max="3852" width="13.28515625" style="263" customWidth="1"/>
    <col min="3853" max="3853" width="13" style="263" customWidth="1"/>
    <col min="3854" max="3854" width="11.28515625" style="263" customWidth="1"/>
    <col min="3855" max="3855" width="10.7109375" style="263" customWidth="1"/>
    <col min="3856" max="3856" width="12.5703125" style="263" customWidth="1"/>
    <col min="3857" max="3857" width="10.7109375" style="263" customWidth="1"/>
    <col min="3858" max="3858" width="10.5703125" style="263" customWidth="1"/>
    <col min="3859" max="3859" width="12.5703125" style="263" customWidth="1"/>
    <col min="3860" max="3861" width="10.5703125" style="263" customWidth="1"/>
    <col min="3862" max="3862" width="10.7109375" style="263" customWidth="1"/>
    <col min="3863" max="4096" width="9.140625" style="263"/>
    <col min="4097" max="4097" width="5.85546875" style="263" customWidth="1"/>
    <col min="4098" max="4098" width="35.85546875" style="263" customWidth="1"/>
    <col min="4099" max="4099" width="14" style="263" customWidth="1"/>
    <col min="4100" max="4100" width="13.5703125" style="263" customWidth="1"/>
    <col min="4101" max="4101" width="10.5703125" style="263" customWidth="1"/>
    <col min="4102" max="4103" width="8.5703125" style="263" customWidth="1"/>
    <col min="4104" max="4104" width="11.7109375" style="263" customWidth="1"/>
    <col min="4105" max="4105" width="9.28515625" style="263" customWidth="1"/>
    <col min="4106" max="4106" width="10.5703125" style="263" customWidth="1"/>
    <col min="4107" max="4107" width="25.85546875" style="263" customWidth="1"/>
    <col min="4108" max="4108" width="13.28515625" style="263" customWidth="1"/>
    <col min="4109" max="4109" width="13" style="263" customWidth="1"/>
    <col min="4110" max="4110" width="11.28515625" style="263" customWidth="1"/>
    <col min="4111" max="4111" width="10.7109375" style="263" customWidth="1"/>
    <col min="4112" max="4112" width="12.5703125" style="263" customWidth="1"/>
    <col min="4113" max="4113" width="10.7109375" style="263" customWidth="1"/>
    <col min="4114" max="4114" width="10.5703125" style="263" customWidth="1"/>
    <col min="4115" max="4115" width="12.5703125" style="263" customWidth="1"/>
    <col min="4116" max="4117" width="10.5703125" style="263" customWidth="1"/>
    <col min="4118" max="4118" width="10.7109375" style="263" customWidth="1"/>
    <col min="4119" max="4352" width="9.140625" style="263"/>
    <col min="4353" max="4353" width="5.85546875" style="263" customWidth="1"/>
    <col min="4354" max="4354" width="35.85546875" style="263" customWidth="1"/>
    <col min="4355" max="4355" width="14" style="263" customWidth="1"/>
    <col min="4356" max="4356" width="13.5703125" style="263" customWidth="1"/>
    <col min="4357" max="4357" width="10.5703125" style="263" customWidth="1"/>
    <col min="4358" max="4359" width="8.5703125" style="263" customWidth="1"/>
    <col min="4360" max="4360" width="11.7109375" style="263" customWidth="1"/>
    <col min="4361" max="4361" width="9.28515625" style="263" customWidth="1"/>
    <col min="4362" max="4362" width="10.5703125" style="263" customWidth="1"/>
    <col min="4363" max="4363" width="25.85546875" style="263" customWidth="1"/>
    <col min="4364" max="4364" width="13.28515625" style="263" customWidth="1"/>
    <col min="4365" max="4365" width="13" style="263" customWidth="1"/>
    <col min="4366" max="4366" width="11.28515625" style="263" customWidth="1"/>
    <col min="4367" max="4367" width="10.7109375" style="263" customWidth="1"/>
    <col min="4368" max="4368" width="12.5703125" style="263" customWidth="1"/>
    <col min="4369" max="4369" width="10.7109375" style="263" customWidth="1"/>
    <col min="4370" max="4370" width="10.5703125" style="263" customWidth="1"/>
    <col min="4371" max="4371" width="12.5703125" style="263" customWidth="1"/>
    <col min="4372" max="4373" width="10.5703125" style="263" customWidth="1"/>
    <col min="4374" max="4374" width="10.7109375" style="263" customWidth="1"/>
    <col min="4375" max="4608" width="9.140625" style="263"/>
    <col min="4609" max="4609" width="5.85546875" style="263" customWidth="1"/>
    <col min="4610" max="4610" width="35.85546875" style="263" customWidth="1"/>
    <col min="4611" max="4611" width="14" style="263" customWidth="1"/>
    <col min="4612" max="4612" width="13.5703125" style="263" customWidth="1"/>
    <col min="4613" max="4613" width="10.5703125" style="263" customWidth="1"/>
    <col min="4614" max="4615" width="8.5703125" style="263" customWidth="1"/>
    <col min="4616" max="4616" width="11.7109375" style="263" customWidth="1"/>
    <col min="4617" max="4617" width="9.28515625" style="263" customWidth="1"/>
    <col min="4618" max="4618" width="10.5703125" style="263" customWidth="1"/>
    <col min="4619" max="4619" width="25.85546875" style="263" customWidth="1"/>
    <col min="4620" max="4620" width="13.28515625" style="263" customWidth="1"/>
    <col min="4621" max="4621" width="13" style="263" customWidth="1"/>
    <col min="4622" max="4622" width="11.28515625" style="263" customWidth="1"/>
    <col min="4623" max="4623" width="10.7109375" style="263" customWidth="1"/>
    <col min="4624" max="4624" width="12.5703125" style="263" customWidth="1"/>
    <col min="4625" max="4625" width="10.7109375" style="263" customWidth="1"/>
    <col min="4626" max="4626" width="10.5703125" style="263" customWidth="1"/>
    <col min="4627" max="4627" width="12.5703125" style="263" customWidth="1"/>
    <col min="4628" max="4629" width="10.5703125" style="263" customWidth="1"/>
    <col min="4630" max="4630" width="10.7109375" style="263" customWidth="1"/>
    <col min="4631" max="4864" width="9.140625" style="263"/>
    <col min="4865" max="4865" width="5.85546875" style="263" customWidth="1"/>
    <col min="4866" max="4866" width="35.85546875" style="263" customWidth="1"/>
    <col min="4867" max="4867" width="14" style="263" customWidth="1"/>
    <col min="4868" max="4868" width="13.5703125" style="263" customWidth="1"/>
    <col min="4869" max="4869" width="10.5703125" style="263" customWidth="1"/>
    <col min="4870" max="4871" width="8.5703125" style="263" customWidth="1"/>
    <col min="4872" max="4872" width="11.7109375" style="263" customWidth="1"/>
    <col min="4873" max="4873" width="9.28515625" style="263" customWidth="1"/>
    <col min="4874" max="4874" width="10.5703125" style="263" customWidth="1"/>
    <col min="4875" max="4875" width="25.85546875" style="263" customWidth="1"/>
    <col min="4876" max="4876" width="13.28515625" style="263" customWidth="1"/>
    <col min="4877" max="4877" width="13" style="263" customWidth="1"/>
    <col min="4878" max="4878" width="11.28515625" style="263" customWidth="1"/>
    <col min="4879" max="4879" width="10.7109375" style="263" customWidth="1"/>
    <col min="4880" max="4880" width="12.5703125" style="263" customWidth="1"/>
    <col min="4881" max="4881" width="10.7109375" style="263" customWidth="1"/>
    <col min="4882" max="4882" width="10.5703125" style="263" customWidth="1"/>
    <col min="4883" max="4883" width="12.5703125" style="263" customWidth="1"/>
    <col min="4884" max="4885" width="10.5703125" style="263" customWidth="1"/>
    <col min="4886" max="4886" width="10.7109375" style="263" customWidth="1"/>
    <col min="4887" max="5120" width="9.140625" style="263"/>
    <col min="5121" max="5121" width="5.85546875" style="263" customWidth="1"/>
    <col min="5122" max="5122" width="35.85546875" style="263" customWidth="1"/>
    <col min="5123" max="5123" width="14" style="263" customWidth="1"/>
    <col min="5124" max="5124" width="13.5703125" style="263" customWidth="1"/>
    <col min="5125" max="5125" width="10.5703125" style="263" customWidth="1"/>
    <col min="5126" max="5127" width="8.5703125" style="263" customWidth="1"/>
    <col min="5128" max="5128" width="11.7109375" style="263" customWidth="1"/>
    <col min="5129" max="5129" width="9.28515625" style="263" customWidth="1"/>
    <col min="5130" max="5130" width="10.5703125" style="263" customWidth="1"/>
    <col min="5131" max="5131" width="25.85546875" style="263" customWidth="1"/>
    <col min="5132" max="5132" width="13.28515625" style="263" customWidth="1"/>
    <col min="5133" max="5133" width="13" style="263" customWidth="1"/>
    <col min="5134" max="5134" width="11.28515625" style="263" customWidth="1"/>
    <col min="5135" max="5135" width="10.7109375" style="263" customWidth="1"/>
    <col min="5136" max="5136" width="12.5703125" style="263" customWidth="1"/>
    <col min="5137" max="5137" width="10.7109375" style="263" customWidth="1"/>
    <col min="5138" max="5138" width="10.5703125" style="263" customWidth="1"/>
    <col min="5139" max="5139" width="12.5703125" style="263" customWidth="1"/>
    <col min="5140" max="5141" width="10.5703125" style="263" customWidth="1"/>
    <col min="5142" max="5142" width="10.7109375" style="263" customWidth="1"/>
    <col min="5143" max="5376" width="9.140625" style="263"/>
    <col min="5377" max="5377" width="5.85546875" style="263" customWidth="1"/>
    <col min="5378" max="5378" width="35.85546875" style="263" customWidth="1"/>
    <col min="5379" max="5379" width="14" style="263" customWidth="1"/>
    <col min="5380" max="5380" width="13.5703125" style="263" customWidth="1"/>
    <col min="5381" max="5381" width="10.5703125" style="263" customWidth="1"/>
    <col min="5382" max="5383" width="8.5703125" style="263" customWidth="1"/>
    <col min="5384" max="5384" width="11.7109375" style="263" customWidth="1"/>
    <col min="5385" max="5385" width="9.28515625" style="263" customWidth="1"/>
    <col min="5386" max="5386" width="10.5703125" style="263" customWidth="1"/>
    <col min="5387" max="5387" width="25.85546875" style="263" customWidth="1"/>
    <col min="5388" max="5388" width="13.28515625" style="263" customWidth="1"/>
    <col min="5389" max="5389" width="13" style="263" customWidth="1"/>
    <col min="5390" max="5390" width="11.28515625" style="263" customWidth="1"/>
    <col min="5391" max="5391" width="10.7109375" style="263" customWidth="1"/>
    <col min="5392" max="5392" width="12.5703125" style="263" customWidth="1"/>
    <col min="5393" max="5393" width="10.7109375" style="263" customWidth="1"/>
    <col min="5394" max="5394" width="10.5703125" style="263" customWidth="1"/>
    <col min="5395" max="5395" width="12.5703125" style="263" customWidth="1"/>
    <col min="5396" max="5397" width="10.5703125" style="263" customWidth="1"/>
    <col min="5398" max="5398" width="10.7109375" style="263" customWidth="1"/>
    <col min="5399" max="5632" width="9.140625" style="263"/>
    <col min="5633" max="5633" width="5.85546875" style="263" customWidth="1"/>
    <col min="5634" max="5634" width="35.85546875" style="263" customWidth="1"/>
    <col min="5635" max="5635" width="14" style="263" customWidth="1"/>
    <col min="5636" max="5636" width="13.5703125" style="263" customWidth="1"/>
    <col min="5637" max="5637" width="10.5703125" style="263" customWidth="1"/>
    <col min="5638" max="5639" width="8.5703125" style="263" customWidth="1"/>
    <col min="5640" max="5640" width="11.7109375" style="263" customWidth="1"/>
    <col min="5641" max="5641" width="9.28515625" style="263" customWidth="1"/>
    <col min="5642" max="5642" width="10.5703125" style="263" customWidth="1"/>
    <col min="5643" max="5643" width="25.85546875" style="263" customWidth="1"/>
    <col min="5644" max="5644" width="13.28515625" style="263" customWidth="1"/>
    <col min="5645" max="5645" width="13" style="263" customWidth="1"/>
    <col min="5646" max="5646" width="11.28515625" style="263" customWidth="1"/>
    <col min="5647" max="5647" width="10.7109375" style="263" customWidth="1"/>
    <col min="5648" max="5648" width="12.5703125" style="263" customWidth="1"/>
    <col min="5649" max="5649" width="10.7109375" style="263" customWidth="1"/>
    <col min="5650" max="5650" width="10.5703125" style="263" customWidth="1"/>
    <col min="5651" max="5651" width="12.5703125" style="263" customWidth="1"/>
    <col min="5652" max="5653" width="10.5703125" style="263" customWidth="1"/>
    <col min="5654" max="5654" width="10.7109375" style="263" customWidth="1"/>
    <col min="5655" max="5888" width="9.140625" style="263"/>
    <col min="5889" max="5889" width="5.85546875" style="263" customWidth="1"/>
    <col min="5890" max="5890" width="35.85546875" style="263" customWidth="1"/>
    <col min="5891" max="5891" width="14" style="263" customWidth="1"/>
    <col min="5892" max="5892" width="13.5703125" style="263" customWidth="1"/>
    <col min="5893" max="5893" width="10.5703125" style="263" customWidth="1"/>
    <col min="5894" max="5895" width="8.5703125" style="263" customWidth="1"/>
    <col min="5896" max="5896" width="11.7109375" style="263" customWidth="1"/>
    <col min="5897" max="5897" width="9.28515625" style="263" customWidth="1"/>
    <col min="5898" max="5898" width="10.5703125" style="263" customWidth="1"/>
    <col min="5899" max="5899" width="25.85546875" style="263" customWidth="1"/>
    <col min="5900" max="5900" width="13.28515625" style="263" customWidth="1"/>
    <col min="5901" max="5901" width="13" style="263" customWidth="1"/>
    <col min="5902" max="5902" width="11.28515625" style="263" customWidth="1"/>
    <col min="5903" max="5903" width="10.7109375" style="263" customWidth="1"/>
    <col min="5904" max="5904" width="12.5703125" style="263" customWidth="1"/>
    <col min="5905" max="5905" width="10.7109375" style="263" customWidth="1"/>
    <col min="5906" max="5906" width="10.5703125" style="263" customWidth="1"/>
    <col min="5907" max="5907" width="12.5703125" style="263" customWidth="1"/>
    <col min="5908" max="5909" width="10.5703125" style="263" customWidth="1"/>
    <col min="5910" max="5910" width="10.7109375" style="263" customWidth="1"/>
    <col min="5911" max="6144" width="9.140625" style="263"/>
    <col min="6145" max="6145" width="5.85546875" style="263" customWidth="1"/>
    <col min="6146" max="6146" width="35.85546875" style="263" customWidth="1"/>
    <col min="6147" max="6147" width="14" style="263" customWidth="1"/>
    <col min="6148" max="6148" width="13.5703125" style="263" customWidth="1"/>
    <col min="6149" max="6149" width="10.5703125" style="263" customWidth="1"/>
    <col min="6150" max="6151" width="8.5703125" style="263" customWidth="1"/>
    <col min="6152" max="6152" width="11.7109375" style="263" customWidth="1"/>
    <col min="6153" max="6153" width="9.28515625" style="263" customWidth="1"/>
    <col min="6154" max="6154" width="10.5703125" style="263" customWidth="1"/>
    <col min="6155" max="6155" width="25.85546875" style="263" customWidth="1"/>
    <col min="6156" max="6156" width="13.28515625" style="263" customWidth="1"/>
    <col min="6157" max="6157" width="13" style="263" customWidth="1"/>
    <col min="6158" max="6158" width="11.28515625" style="263" customWidth="1"/>
    <col min="6159" max="6159" width="10.7109375" style="263" customWidth="1"/>
    <col min="6160" max="6160" width="12.5703125" style="263" customWidth="1"/>
    <col min="6161" max="6161" width="10.7109375" style="263" customWidth="1"/>
    <col min="6162" max="6162" width="10.5703125" style="263" customWidth="1"/>
    <col min="6163" max="6163" width="12.5703125" style="263" customWidth="1"/>
    <col min="6164" max="6165" width="10.5703125" style="263" customWidth="1"/>
    <col min="6166" max="6166" width="10.7109375" style="263" customWidth="1"/>
    <col min="6167" max="6400" width="9.140625" style="263"/>
    <col min="6401" max="6401" width="5.85546875" style="263" customWidth="1"/>
    <col min="6402" max="6402" width="35.85546875" style="263" customWidth="1"/>
    <col min="6403" max="6403" width="14" style="263" customWidth="1"/>
    <col min="6404" max="6404" width="13.5703125" style="263" customWidth="1"/>
    <col min="6405" max="6405" width="10.5703125" style="263" customWidth="1"/>
    <col min="6406" max="6407" width="8.5703125" style="263" customWidth="1"/>
    <col min="6408" max="6408" width="11.7109375" style="263" customWidth="1"/>
    <col min="6409" max="6409" width="9.28515625" style="263" customWidth="1"/>
    <col min="6410" max="6410" width="10.5703125" style="263" customWidth="1"/>
    <col min="6411" max="6411" width="25.85546875" style="263" customWidth="1"/>
    <col min="6412" max="6412" width="13.28515625" style="263" customWidth="1"/>
    <col min="6413" max="6413" width="13" style="263" customWidth="1"/>
    <col min="6414" max="6414" width="11.28515625" style="263" customWidth="1"/>
    <col min="6415" max="6415" width="10.7109375" style="263" customWidth="1"/>
    <col min="6416" max="6416" width="12.5703125" style="263" customWidth="1"/>
    <col min="6417" max="6417" width="10.7109375" style="263" customWidth="1"/>
    <col min="6418" max="6418" width="10.5703125" style="263" customWidth="1"/>
    <col min="6419" max="6419" width="12.5703125" style="263" customWidth="1"/>
    <col min="6420" max="6421" width="10.5703125" style="263" customWidth="1"/>
    <col min="6422" max="6422" width="10.7109375" style="263" customWidth="1"/>
    <col min="6423" max="6656" width="9.140625" style="263"/>
    <col min="6657" max="6657" width="5.85546875" style="263" customWidth="1"/>
    <col min="6658" max="6658" width="35.85546875" style="263" customWidth="1"/>
    <col min="6659" max="6659" width="14" style="263" customWidth="1"/>
    <col min="6660" max="6660" width="13.5703125" style="263" customWidth="1"/>
    <col min="6661" max="6661" width="10.5703125" style="263" customWidth="1"/>
    <col min="6662" max="6663" width="8.5703125" style="263" customWidth="1"/>
    <col min="6664" max="6664" width="11.7109375" style="263" customWidth="1"/>
    <col min="6665" max="6665" width="9.28515625" style="263" customWidth="1"/>
    <col min="6666" max="6666" width="10.5703125" style="263" customWidth="1"/>
    <col min="6667" max="6667" width="25.85546875" style="263" customWidth="1"/>
    <col min="6668" max="6668" width="13.28515625" style="263" customWidth="1"/>
    <col min="6669" max="6669" width="13" style="263" customWidth="1"/>
    <col min="6670" max="6670" width="11.28515625" style="263" customWidth="1"/>
    <col min="6671" max="6671" width="10.7109375" style="263" customWidth="1"/>
    <col min="6672" max="6672" width="12.5703125" style="263" customWidth="1"/>
    <col min="6673" max="6673" width="10.7109375" style="263" customWidth="1"/>
    <col min="6674" max="6674" width="10.5703125" style="263" customWidth="1"/>
    <col min="6675" max="6675" width="12.5703125" style="263" customWidth="1"/>
    <col min="6676" max="6677" width="10.5703125" style="263" customWidth="1"/>
    <col min="6678" max="6678" width="10.7109375" style="263" customWidth="1"/>
    <col min="6679" max="6912" width="9.140625" style="263"/>
    <col min="6913" max="6913" width="5.85546875" style="263" customWidth="1"/>
    <col min="6914" max="6914" width="35.85546875" style="263" customWidth="1"/>
    <col min="6915" max="6915" width="14" style="263" customWidth="1"/>
    <col min="6916" max="6916" width="13.5703125" style="263" customWidth="1"/>
    <col min="6917" max="6917" width="10.5703125" style="263" customWidth="1"/>
    <col min="6918" max="6919" width="8.5703125" style="263" customWidth="1"/>
    <col min="6920" max="6920" width="11.7109375" style="263" customWidth="1"/>
    <col min="6921" max="6921" width="9.28515625" style="263" customWidth="1"/>
    <col min="6922" max="6922" width="10.5703125" style="263" customWidth="1"/>
    <col min="6923" max="6923" width="25.85546875" style="263" customWidth="1"/>
    <col min="6924" max="6924" width="13.28515625" style="263" customWidth="1"/>
    <col min="6925" max="6925" width="13" style="263" customWidth="1"/>
    <col min="6926" max="6926" width="11.28515625" style="263" customWidth="1"/>
    <col min="6927" max="6927" width="10.7109375" style="263" customWidth="1"/>
    <col min="6928" max="6928" width="12.5703125" style="263" customWidth="1"/>
    <col min="6929" max="6929" width="10.7109375" style="263" customWidth="1"/>
    <col min="6930" max="6930" width="10.5703125" style="263" customWidth="1"/>
    <col min="6931" max="6931" width="12.5703125" style="263" customWidth="1"/>
    <col min="6932" max="6933" width="10.5703125" style="263" customWidth="1"/>
    <col min="6934" max="6934" width="10.7109375" style="263" customWidth="1"/>
    <col min="6935" max="7168" width="9.140625" style="263"/>
    <col min="7169" max="7169" width="5.85546875" style="263" customWidth="1"/>
    <col min="7170" max="7170" width="35.85546875" style="263" customWidth="1"/>
    <col min="7171" max="7171" width="14" style="263" customWidth="1"/>
    <col min="7172" max="7172" width="13.5703125" style="263" customWidth="1"/>
    <col min="7173" max="7173" width="10.5703125" style="263" customWidth="1"/>
    <col min="7174" max="7175" width="8.5703125" style="263" customWidth="1"/>
    <col min="7176" max="7176" width="11.7109375" style="263" customWidth="1"/>
    <col min="7177" max="7177" width="9.28515625" style="263" customWidth="1"/>
    <col min="7178" max="7178" width="10.5703125" style="263" customWidth="1"/>
    <col min="7179" max="7179" width="25.85546875" style="263" customWidth="1"/>
    <col min="7180" max="7180" width="13.28515625" style="263" customWidth="1"/>
    <col min="7181" max="7181" width="13" style="263" customWidth="1"/>
    <col min="7182" max="7182" width="11.28515625" style="263" customWidth="1"/>
    <col min="7183" max="7183" width="10.7109375" style="263" customWidth="1"/>
    <col min="7184" max="7184" width="12.5703125" style="263" customWidth="1"/>
    <col min="7185" max="7185" width="10.7109375" style="263" customWidth="1"/>
    <col min="7186" max="7186" width="10.5703125" style="263" customWidth="1"/>
    <col min="7187" max="7187" width="12.5703125" style="263" customWidth="1"/>
    <col min="7188" max="7189" width="10.5703125" style="263" customWidth="1"/>
    <col min="7190" max="7190" width="10.7109375" style="263" customWidth="1"/>
    <col min="7191" max="7424" width="9.140625" style="263"/>
    <col min="7425" max="7425" width="5.85546875" style="263" customWidth="1"/>
    <col min="7426" max="7426" width="35.85546875" style="263" customWidth="1"/>
    <col min="7427" max="7427" width="14" style="263" customWidth="1"/>
    <col min="7428" max="7428" width="13.5703125" style="263" customWidth="1"/>
    <col min="7429" max="7429" width="10.5703125" style="263" customWidth="1"/>
    <col min="7430" max="7431" width="8.5703125" style="263" customWidth="1"/>
    <col min="7432" max="7432" width="11.7109375" style="263" customWidth="1"/>
    <col min="7433" max="7433" width="9.28515625" style="263" customWidth="1"/>
    <col min="7434" max="7434" width="10.5703125" style="263" customWidth="1"/>
    <col min="7435" max="7435" width="25.85546875" style="263" customWidth="1"/>
    <col min="7436" max="7436" width="13.28515625" style="263" customWidth="1"/>
    <col min="7437" max="7437" width="13" style="263" customWidth="1"/>
    <col min="7438" max="7438" width="11.28515625" style="263" customWidth="1"/>
    <col min="7439" max="7439" width="10.7109375" style="263" customWidth="1"/>
    <col min="7440" max="7440" width="12.5703125" style="263" customWidth="1"/>
    <col min="7441" max="7441" width="10.7109375" style="263" customWidth="1"/>
    <col min="7442" max="7442" width="10.5703125" style="263" customWidth="1"/>
    <col min="7443" max="7443" width="12.5703125" style="263" customWidth="1"/>
    <col min="7444" max="7445" width="10.5703125" style="263" customWidth="1"/>
    <col min="7446" max="7446" width="10.7109375" style="263" customWidth="1"/>
    <col min="7447" max="7680" width="9.140625" style="263"/>
    <col min="7681" max="7681" width="5.85546875" style="263" customWidth="1"/>
    <col min="7682" max="7682" width="35.85546875" style="263" customWidth="1"/>
    <col min="7683" max="7683" width="14" style="263" customWidth="1"/>
    <col min="7684" max="7684" width="13.5703125" style="263" customWidth="1"/>
    <col min="7685" max="7685" width="10.5703125" style="263" customWidth="1"/>
    <col min="7686" max="7687" width="8.5703125" style="263" customWidth="1"/>
    <col min="7688" max="7688" width="11.7109375" style="263" customWidth="1"/>
    <col min="7689" max="7689" width="9.28515625" style="263" customWidth="1"/>
    <col min="7690" max="7690" width="10.5703125" style="263" customWidth="1"/>
    <col min="7691" max="7691" width="25.85546875" style="263" customWidth="1"/>
    <col min="7692" max="7692" width="13.28515625" style="263" customWidth="1"/>
    <col min="7693" max="7693" width="13" style="263" customWidth="1"/>
    <col min="7694" max="7694" width="11.28515625" style="263" customWidth="1"/>
    <col min="7695" max="7695" width="10.7109375" style="263" customWidth="1"/>
    <col min="7696" max="7696" width="12.5703125" style="263" customWidth="1"/>
    <col min="7697" max="7697" width="10.7109375" style="263" customWidth="1"/>
    <col min="7698" max="7698" width="10.5703125" style="263" customWidth="1"/>
    <col min="7699" max="7699" width="12.5703125" style="263" customWidth="1"/>
    <col min="7700" max="7701" width="10.5703125" style="263" customWidth="1"/>
    <col min="7702" max="7702" width="10.7109375" style="263" customWidth="1"/>
    <col min="7703" max="7936" width="9.140625" style="263"/>
    <col min="7937" max="7937" width="5.85546875" style="263" customWidth="1"/>
    <col min="7938" max="7938" width="35.85546875" style="263" customWidth="1"/>
    <col min="7939" max="7939" width="14" style="263" customWidth="1"/>
    <col min="7940" max="7940" width="13.5703125" style="263" customWidth="1"/>
    <col min="7941" max="7941" width="10.5703125" style="263" customWidth="1"/>
    <col min="7942" max="7943" width="8.5703125" style="263" customWidth="1"/>
    <col min="7944" max="7944" width="11.7109375" style="263" customWidth="1"/>
    <col min="7945" max="7945" width="9.28515625" style="263" customWidth="1"/>
    <col min="7946" max="7946" width="10.5703125" style="263" customWidth="1"/>
    <col min="7947" max="7947" width="25.85546875" style="263" customWidth="1"/>
    <col min="7948" max="7948" width="13.28515625" style="263" customWidth="1"/>
    <col min="7949" max="7949" width="13" style="263" customWidth="1"/>
    <col min="7950" max="7950" width="11.28515625" style="263" customWidth="1"/>
    <col min="7951" max="7951" width="10.7109375" style="263" customWidth="1"/>
    <col min="7952" max="7952" width="12.5703125" style="263" customWidth="1"/>
    <col min="7953" max="7953" width="10.7109375" style="263" customWidth="1"/>
    <col min="7954" max="7954" width="10.5703125" style="263" customWidth="1"/>
    <col min="7955" max="7955" width="12.5703125" style="263" customWidth="1"/>
    <col min="7956" max="7957" width="10.5703125" style="263" customWidth="1"/>
    <col min="7958" max="7958" width="10.7109375" style="263" customWidth="1"/>
    <col min="7959" max="8192" width="9.140625" style="263"/>
    <col min="8193" max="8193" width="5.85546875" style="263" customWidth="1"/>
    <col min="8194" max="8194" width="35.85546875" style="263" customWidth="1"/>
    <col min="8195" max="8195" width="14" style="263" customWidth="1"/>
    <col min="8196" max="8196" width="13.5703125" style="263" customWidth="1"/>
    <col min="8197" max="8197" width="10.5703125" style="263" customWidth="1"/>
    <col min="8198" max="8199" width="8.5703125" style="263" customWidth="1"/>
    <col min="8200" max="8200" width="11.7109375" style="263" customWidth="1"/>
    <col min="8201" max="8201" width="9.28515625" style="263" customWidth="1"/>
    <col min="8202" max="8202" width="10.5703125" style="263" customWidth="1"/>
    <col min="8203" max="8203" width="25.85546875" style="263" customWidth="1"/>
    <col min="8204" max="8204" width="13.28515625" style="263" customWidth="1"/>
    <col min="8205" max="8205" width="13" style="263" customWidth="1"/>
    <col min="8206" max="8206" width="11.28515625" style="263" customWidth="1"/>
    <col min="8207" max="8207" width="10.7109375" style="263" customWidth="1"/>
    <col min="8208" max="8208" width="12.5703125" style="263" customWidth="1"/>
    <col min="8209" max="8209" width="10.7109375" style="263" customWidth="1"/>
    <col min="8210" max="8210" width="10.5703125" style="263" customWidth="1"/>
    <col min="8211" max="8211" width="12.5703125" style="263" customWidth="1"/>
    <col min="8212" max="8213" width="10.5703125" style="263" customWidth="1"/>
    <col min="8214" max="8214" width="10.7109375" style="263" customWidth="1"/>
    <col min="8215" max="8448" width="9.140625" style="263"/>
    <col min="8449" max="8449" width="5.85546875" style="263" customWidth="1"/>
    <col min="8450" max="8450" width="35.85546875" style="263" customWidth="1"/>
    <col min="8451" max="8451" width="14" style="263" customWidth="1"/>
    <col min="8452" max="8452" width="13.5703125" style="263" customWidth="1"/>
    <col min="8453" max="8453" width="10.5703125" style="263" customWidth="1"/>
    <col min="8454" max="8455" width="8.5703125" style="263" customWidth="1"/>
    <col min="8456" max="8456" width="11.7109375" style="263" customWidth="1"/>
    <col min="8457" max="8457" width="9.28515625" style="263" customWidth="1"/>
    <col min="8458" max="8458" width="10.5703125" style="263" customWidth="1"/>
    <col min="8459" max="8459" width="25.85546875" style="263" customWidth="1"/>
    <col min="8460" max="8460" width="13.28515625" style="263" customWidth="1"/>
    <col min="8461" max="8461" width="13" style="263" customWidth="1"/>
    <col min="8462" max="8462" width="11.28515625" style="263" customWidth="1"/>
    <col min="8463" max="8463" width="10.7109375" style="263" customWidth="1"/>
    <col min="8464" max="8464" width="12.5703125" style="263" customWidth="1"/>
    <col min="8465" max="8465" width="10.7109375" style="263" customWidth="1"/>
    <col min="8466" max="8466" width="10.5703125" style="263" customWidth="1"/>
    <col min="8467" max="8467" width="12.5703125" style="263" customWidth="1"/>
    <col min="8468" max="8469" width="10.5703125" style="263" customWidth="1"/>
    <col min="8470" max="8470" width="10.7109375" style="263" customWidth="1"/>
    <col min="8471" max="8704" width="9.140625" style="263"/>
    <col min="8705" max="8705" width="5.85546875" style="263" customWidth="1"/>
    <col min="8706" max="8706" width="35.85546875" style="263" customWidth="1"/>
    <col min="8707" max="8707" width="14" style="263" customWidth="1"/>
    <col min="8708" max="8708" width="13.5703125" style="263" customWidth="1"/>
    <col min="8709" max="8709" width="10.5703125" style="263" customWidth="1"/>
    <col min="8710" max="8711" width="8.5703125" style="263" customWidth="1"/>
    <col min="8712" max="8712" width="11.7109375" style="263" customWidth="1"/>
    <col min="8713" max="8713" width="9.28515625" style="263" customWidth="1"/>
    <col min="8714" max="8714" width="10.5703125" style="263" customWidth="1"/>
    <col min="8715" max="8715" width="25.85546875" style="263" customWidth="1"/>
    <col min="8716" max="8716" width="13.28515625" style="263" customWidth="1"/>
    <col min="8717" max="8717" width="13" style="263" customWidth="1"/>
    <col min="8718" max="8718" width="11.28515625" style="263" customWidth="1"/>
    <col min="8719" max="8719" width="10.7109375" style="263" customWidth="1"/>
    <col min="8720" max="8720" width="12.5703125" style="263" customWidth="1"/>
    <col min="8721" max="8721" width="10.7109375" style="263" customWidth="1"/>
    <col min="8722" max="8722" width="10.5703125" style="263" customWidth="1"/>
    <col min="8723" max="8723" width="12.5703125" style="263" customWidth="1"/>
    <col min="8724" max="8725" width="10.5703125" style="263" customWidth="1"/>
    <col min="8726" max="8726" width="10.7109375" style="263" customWidth="1"/>
    <col min="8727" max="8960" width="9.140625" style="263"/>
    <col min="8961" max="8961" width="5.85546875" style="263" customWidth="1"/>
    <col min="8962" max="8962" width="35.85546875" style="263" customWidth="1"/>
    <col min="8963" max="8963" width="14" style="263" customWidth="1"/>
    <col min="8964" max="8964" width="13.5703125" style="263" customWidth="1"/>
    <col min="8965" max="8965" width="10.5703125" style="263" customWidth="1"/>
    <col min="8966" max="8967" width="8.5703125" style="263" customWidth="1"/>
    <col min="8968" max="8968" width="11.7109375" style="263" customWidth="1"/>
    <col min="8969" max="8969" width="9.28515625" style="263" customWidth="1"/>
    <col min="8970" max="8970" width="10.5703125" style="263" customWidth="1"/>
    <col min="8971" max="8971" width="25.85546875" style="263" customWidth="1"/>
    <col min="8972" max="8972" width="13.28515625" style="263" customWidth="1"/>
    <col min="8973" max="8973" width="13" style="263" customWidth="1"/>
    <col min="8974" max="8974" width="11.28515625" style="263" customWidth="1"/>
    <col min="8975" max="8975" width="10.7109375" style="263" customWidth="1"/>
    <col min="8976" max="8976" width="12.5703125" style="263" customWidth="1"/>
    <col min="8977" max="8977" width="10.7109375" style="263" customWidth="1"/>
    <col min="8978" max="8978" width="10.5703125" style="263" customWidth="1"/>
    <col min="8979" max="8979" width="12.5703125" style="263" customWidth="1"/>
    <col min="8980" max="8981" width="10.5703125" style="263" customWidth="1"/>
    <col min="8982" max="8982" width="10.7109375" style="263" customWidth="1"/>
    <col min="8983" max="9216" width="9.140625" style="263"/>
    <col min="9217" max="9217" width="5.85546875" style="263" customWidth="1"/>
    <col min="9218" max="9218" width="35.85546875" style="263" customWidth="1"/>
    <col min="9219" max="9219" width="14" style="263" customWidth="1"/>
    <col min="9220" max="9220" width="13.5703125" style="263" customWidth="1"/>
    <col min="9221" max="9221" width="10.5703125" style="263" customWidth="1"/>
    <col min="9222" max="9223" width="8.5703125" style="263" customWidth="1"/>
    <col min="9224" max="9224" width="11.7109375" style="263" customWidth="1"/>
    <col min="9225" max="9225" width="9.28515625" style="263" customWidth="1"/>
    <col min="9226" max="9226" width="10.5703125" style="263" customWidth="1"/>
    <col min="9227" max="9227" width="25.85546875" style="263" customWidth="1"/>
    <col min="9228" max="9228" width="13.28515625" style="263" customWidth="1"/>
    <col min="9229" max="9229" width="13" style="263" customWidth="1"/>
    <col min="9230" max="9230" width="11.28515625" style="263" customWidth="1"/>
    <col min="9231" max="9231" width="10.7109375" style="263" customWidth="1"/>
    <col min="9232" max="9232" width="12.5703125" style="263" customWidth="1"/>
    <col min="9233" max="9233" width="10.7109375" style="263" customWidth="1"/>
    <col min="9234" max="9234" width="10.5703125" style="263" customWidth="1"/>
    <col min="9235" max="9235" width="12.5703125" style="263" customWidth="1"/>
    <col min="9236" max="9237" width="10.5703125" style="263" customWidth="1"/>
    <col min="9238" max="9238" width="10.7109375" style="263" customWidth="1"/>
    <col min="9239" max="9472" width="9.140625" style="263"/>
    <col min="9473" max="9473" width="5.85546875" style="263" customWidth="1"/>
    <col min="9474" max="9474" width="35.85546875" style="263" customWidth="1"/>
    <col min="9475" max="9475" width="14" style="263" customWidth="1"/>
    <col min="9476" max="9476" width="13.5703125" style="263" customWidth="1"/>
    <col min="9477" max="9477" width="10.5703125" style="263" customWidth="1"/>
    <col min="9478" max="9479" width="8.5703125" style="263" customWidth="1"/>
    <col min="9480" max="9480" width="11.7109375" style="263" customWidth="1"/>
    <col min="9481" max="9481" width="9.28515625" style="263" customWidth="1"/>
    <col min="9482" max="9482" width="10.5703125" style="263" customWidth="1"/>
    <col min="9483" max="9483" width="25.85546875" style="263" customWidth="1"/>
    <col min="9484" max="9484" width="13.28515625" style="263" customWidth="1"/>
    <col min="9485" max="9485" width="13" style="263" customWidth="1"/>
    <col min="9486" max="9486" width="11.28515625" style="263" customWidth="1"/>
    <col min="9487" max="9487" width="10.7109375" style="263" customWidth="1"/>
    <col min="9488" max="9488" width="12.5703125" style="263" customWidth="1"/>
    <col min="9489" max="9489" width="10.7109375" style="263" customWidth="1"/>
    <col min="9490" max="9490" width="10.5703125" style="263" customWidth="1"/>
    <col min="9491" max="9491" width="12.5703125" style="263" customWidth="1"/>
    <col min="9492" max="9493" width="10.5703125" style="263" customWidth="1"/>
    <col min="9494" max="9494" width="10.7109375" style="263" customWidth="1"/>
    <col min="9495" max="9728" width="9.140625" style="263"/>
    <col min="9729" max="9729" width="5.85546875" style="263" customWidth="1"/>
    <col min="9730" max="9730" width="35.85546875" style="263" customWidth="1"/>
    <col min="9731" max="9731" width="14" style="263" customWidth="1"/>
    <col min="9732" max="9732" width="13.5703125" style="263" customWidth="1"/>
    <col min="9733" max="9733" width="10.5703125" style="263" customWidth="1"/>
    <col min="9734" max="9735" width="8.5703125" style="263" customWidth="1"/>
    <col min="9736" max="9736" width="11.7109375" style="263" customWidth="1"/>
    <col min="9737" max="9737" width="9.28515625" style="263" customWidth="1"/>
    <col min="9738" max="9738" width="10.5703125" style="263" customWidth="1"/>
    <col min="9739" max="9739" width="25.85546875" style="263" customWidth="1"/>
    <col min="9740" max="9740" width="13.28515625" style="263" customWidth="1"/>
    <col min="9741" max="9741" width="13" style="263" customWidth="1"/>
    <col min="9742" max="9742" width="11.28515625" style="263" customWidth="1"/>
    <col min="9743" max="9743" width="10.7109375" style="263" customWidth="1"/>
    <col min="9744" max="9744" width="12.5703125" style="263" customWidth="1"/>
    <col min="9745" max="9745" width="10.7109375" style="263" customWidth="1"/>
    <col min="9746" max="9746" width="10.5703125" style="263" customWidth="1"/>
    <col min="9747" max="9747" width="12.5703125" style="263" customWidth="1"/>
    <col min="9748" max="9749" width="10.5703125" style="263" customWidth="1"/>
    <col min="9750" max="9750" width="10.7109375" style="263" customWidth="1"/>
    <col min="9751" max="9984" width="9.140625" style="263"/>
    <col min="9985" max="9985" width="5.85546875" style="263" customWidth="1"/>
    <col min="9986" max="9986" width="35.85546875" style="263" customWidth="1"/>
    <col min="9987" max="9987" width="14" style="263" customWidth="1"/>
    <col min="9988" max="9988" width="13.5703125" style="263" customWidth="1"/>
    <col min="9989" max="9989" width="10.5703125" style="263" customWidth="1"/>
    <col min="9990" max="9991" width="8.5703125" style="263" customWidth="1"/>
    <col min="9992" max="9992" width="11.7109375" style="263" customWidth="1"/>
    <col min="9993" max="9993" width="9.28515625" style="263" customWidth="1"/>
    <col min="9994" max="9994" width="10.5703125" style="263" customWidth="1"/>
    <col min="9995" max="9995" width="25.85546875" style="263" customWidth="1"/>
    <col min="9996" max="9996" width="13.28515625" style="263" customWidth="1"/>
    <col min="9997" max="9997" width="13" style="263" customWidth="1"/>
    <col min="9998" max="9998" width="11.28515625" style="263" customWidth="1"/>
    <col min="9999" max="9999" width="10.7109375" style="263" customWidth="1"/>
    <col min="10000" max="10000" width="12.5703125" style="263" customWidth="1"/>
    <col min="10001" max="10001" width="10.7109375" style="263" customWidth="1"/>
    <col min="10002" max="10002" width="10.5703125" style="263" customWidth="1"/>
    <col min="10003" max="10003" width="12.5703125" style="263" customWidth="1"/>
    <col min="10004" max="10005" width="10.5703125" style="263" customWidth="1"/>
    <col min="10006" max="10006" width="10.7109375" style="263" customWidth="1"/>
    <col min="10007" max="10240" width="9.140625" style="263"/>
    <col min="10241" max="10241" width="5.85546875" style="263" customWidth="1"/>
    <col min="10242" max="10242" width="35.85546875" style="263" customWidth="1"/>
    <col min="10243" max="10243" width="14" style="263" customWidth="1"/>
    <col min="10244" max="10244" width="13.5703125" style="263" customWidth="1"/>
    <col min="10245" max="10245" width="10.5703125" style="263" customWidth="1"/>
    <col min="10246" max="10247" width="8.5703125" style="263" customWidth="1"/>
    <col min="10248" max="10248" width="11.7109375" style="263" customWidth="1"/>
    <col min="10249" max="10249" width="9.28515625" style="263" customWidth="1"/>
    <col min="10250" max="10250" width="10.5703125" style="263" customWidth="1"/>
    <col min="10251" max="10251" width="25.85546875" style="263" customWidth="1"/>
    <col min="10252" max="10252" width="13.28515625" style="263" customWidth="1"/>
    <col min="10253" max="10253" width="13" style="263" customWidth="1"/>
    <col min="10254" max="10254" width="11.28515625" style="263" customWidth="1"/>
    <col min="10255" max="10255" width="10.7109375" style="263" customWidth="1"/>
    <col min="10256" max="10256" width="12.5703125" style="263" customWidth="1"/>
    <col min="10257" max="10257" width="10.7109375" style="263" customWidth="1"/>
    <col min="10258" max="10258" width="10.5703125" style="263" customWidth="1"/>
    <col min="10259" max="10259" width="12.5703125" style="263" customWidth="1"/>
    <col min="10260" max="10261" width="10.5703125" style="263" customWidth="1"/>
    <col min="10262" max="10262" width="10.7109375" style="263" customWidth="1"/>
    <col min="10263" max="10496" width="9.140625" style="263"/>
    <col min="10497" max="10497" width="5.85546875" style="263" customWidth="1"/>
    <col min="10498" max="10498" width="35.85546875" style="263" customWidth="1"/>
    <col min="10499" max="10499" width="14" style="263" customWidth="1"/>
    <col min="10500" max="10500" width="13.5703125" style="263" customWidth="1"/>
    <col min="10501" max="10501" width="10.5703125" style="263" customWidth="1"/>
    <col min="10502" max="10503" width="8.5703125" style="263" customWidth="1"/>
    <col min="10504" max="10504" width="11.7109375" style="263" customWidth="1"/>
    <col min="10505" max="10505" width="9.28515625" style="263" customWidth="1"/>
    <col min="10506" max="10506" width="10.5703125" style="263" customWidth="1"/>
    <col min="10507" max="10507" width="25.85546875" style="263" customWidth="1"/>
    <col min="10508" max="10508" width="13.28515625" style="263" customWidth="1"/>
    <col min="10509" max="10509" width="13" style="263" customWidth="1"/>
    <col min="10510" max="10510" width="11.28515625" style="263" customWidth="1"/>
    <col min="10511" max="10511" width="10.7109375" style="263" customWidth="1"/>
    <col min="10512" max="10512" width="12.5703125" style="263" customWidth="1"/>
    <col min="10513" max="10513" width="10.7109375" style="263" customWidth="1"/>
    <col min="10514" max="10514" width="10.5703125" style="263" customWidth="1"/>
    <col min="10515" max="10515" width="12.5703125" style="263" customWidth="1"/>
    <col min="10516" max="10517" width="10.5703125" style="263" customWidth="1"/>
    <col min="10518" max="10518" width="10.7109375" style="263" customWidth="1"/>
    <col min="10519" max="10752" width="9.140625" style="263"/>
    <col min="10753" max="10753" width="5.85546875" style="263" customWidth="1"/>
    <col min="10754" max="10754" width="35.85546875" style="263" customWidth="1"/>
    <col min="10755" max="10755" width="14" style="263" customWidth="1"/>
    <col min="10756" max="10756" width="13.5703125" style="263" customWidth="1"/>
    <col min="10757" max="10757" width="10.5703125" style="263" customWidth="1"/>
    <col min="10758" max="10759" width="8.5703125" style="263" customWidth="1"/>
    <col min="10760" max="10760" width="11.7109375" style="263" customWidth="1"/>
    <col min="10761" max="10761" width="9.28515625" style="263" customWidth="1"/>
    <col min="10762" max="10762" width="10.5703125" style="263" customWidth="1"/>
    <col min="10763" max="10763" width="25.85546875" style="263" customWidth="1"/>
    <col min="10764" max="10764" width="13.28515625" style="263" customWidth="1"/>
    <col min="10765" max="10765" width="13" style="263" customWidth="1"/>
    <col min="10766" max="10766" width="11.28515625" style="263" customWidth="1"/>
    <col min="10767" max="10767" width="10.7109375" style="263" customWidth="1"/>
    <col min="10768" max="10768" width="12.5703125" style="263" customWidth="1"/>
    <col min="10769" max="10769" width="10.7109375" style="263" customWidth="1"/>
    <col min="10770" max="10770" width="10.5703125" style="263" customWidth="1"/>
    <col min="10771" max="10771" width="12.5703125" style="263" customWidth="1"/>
    <col min="10772" max="10773" width="10.5703125" style="263" customWidth="1"/>
    <col min="10774" max="10774" width="10.7109375" style="263" customWidth="1"/>
    <col min="10775" max="11008" width="9.140625" style="263"/>
    <col min="11009" max="11009" width="5.85546875" style="263" customWidth="1"/>
    <col min="11010" max="11010" width="35.85546875" style="263" customWidth="1"/>
    <col min="11011" max="11011" width="14" style="263" customWidth="1"/>
    <col min="11012" max="11012" width="13.5703125" style="263" customWidth="1"/>
    <col min="11013" max="11013" width="10.5703125" style="263" customWidth="1"/>
    <col min="11014" max="11015" width="8.5703125" style="263" customWidth="1"/>
    <col min="11016" max="11016" width="11.7109375" style="263" customWidth="1"/>
    <col min="11017" max="11017" width="9.28515625" style="263" customWidth="1"/>
    <col min="11018" max="11018" width="10.5703125" style="263" customWidth="1"/>
    <col min="11019" max="11019" width="25.85546875" style="263" customWidth="1"/>
    <col min="11020" max="11020" width="13.28515625" style="263" customWidth="1"/>
    <col min="11021" max="11021" width="13" style="263" customWidth="1"/>
    <col min="11022" max="11022" width="11.28515625" style="263" customWidth="1"/>
    <col min="11023" max="11023" width="10.7109375" style="263" customWidth="1"/>
    <col min="11024" max="11024" width="12.5703125" style="263" customWidth="1"/>
    <col min="11025" max="11025" width="10.7109375" style="263" customWidth="1"/>
    <col min="11026" max="11026" width="10.5703125" style="263" customWidth="1"/>
    <col min="11027" max="11027" width="12.5703125" style="263" customWidth="1"/>
    <col min="11028" max="11029" width="10.5703125" style="263" customWidth="1"/>
    <col min="11030" max="11030" width="10.7109375" style="263" customWidth="1"/>
    <col min="11031" max="11264" width="9.140625" style="263"/>
    <col min="11265" max="11265" width="5.85546875" style="263" customWidth="1"/>
    <col min="11266" max="11266" width="35.85546875" style="263" customWidth="1"/>
    <col min="11267" max="11267" width="14" style="263" customWidth="1"/>
    <col min="11268" max="11268" width="13.5703125" style="263" customWidth="1"/>
    <col min="11269" max="11269" width="10.5703125" style="263" customWidth="1"/>
    <col min="11270" max="11271" width="8.5703125" style="263" customWidth="1"/>
    <col min="11272" max="11272" width="11.7109375" style="263" customWidth="1"/>
    <col min="11273" max="11273" width="9.28515625" style="263" customWidth="1"/>
    <col min="11274" max="11274" width="10.5703125" style="263" customWidth="1"/>
    <col min="11275" max="11275" width="25.85546875" style="263" customWidth="1"/>
    <col min="11276" max="11276" width="13.28515625" style="263" customWidth="1"/>
    <col min="11277" max="11277" width="13" style="263" customWidth="1"/>
    <col min="11278" max="11278" width="11.28515625" style="263" customWidth="1"/>
    <col min="11279" max="11279" width="10.7109375" style="263" customWidth="1"/>
    <col min="11280" max="11280" width="12.5703125" style="263" customWidth="1"/>
    <col min="11281" max="11281" width="10.7109375" style="263" customWidth="1"/>
    <col min="11282" max="11282" width="10.5703125" style="263" customWidth="1"/>
    <col min="11283" max="11283" width="12.5703125" style="263" customWidth="1"/>
    <col min="11284" max="11285" width="10.5703125" style="263" customWidth="1"/>
    <col min="11286" max="11286" width="10.7109375" style="263" customWidth="1"/>
    <col min="11287" max="11520" width="9.140625" style="263"/>
    <col min="11521" max="11521" width="5.85546875" style="263" customWidth="1"/>
    <col min="11522" max="11522" width="35.85546875" style="263" customWidth="1"/>
    <col min="11523" max="11523" width="14" style="263" customWidth="1"/>
    <col min="11524" max="11524" width="13.5703125" style="263" customWidth="1"/>
    <col min="11525" max="11525" width="10.5703125" style="263" customWidth="1"/>
    <col min="11526" max="11527" width="8.5703125" style="263" customWidth="1"/>
    <col min="11528" max="11528" width="11.7109375" style="263" customWidth="1"/>
    <col min="11529" max="11529" width="9.28515625" style="263" customWidth="1"/>
    <col min="11530" max="11530" width="10.5703125" style="263" customWidth="1"/>
    <col min="11531" max="11531" width="25.85546875" style="263" customWidth="1"/>
    <col min="11532" max="11532" width="13.28515625" style="263" customWidth="1"/>
    <col min="11533" max="11533" width="13" style="263" customWidth="1"/>
    <col min="11534" max="11534" width="11.28515625" style="263" customWidth="1"/>
    <col min="11535" max="11535" width="10.7109375" style="263" customWidth="1"/>
    <col min="11536" max="11536" width="12.5703125" style="263" customWidth="1"/>
    <col min="11537" max="11537" width="10.7109375" style="263" customWidth="1"/>
    <col min="11538" max="11538" width="10.5703125" style="263" customWidth="1"/>
    <col min="11539" max="11539" width="12.5703125" style="263" customWidth="1"/>
    <col min="11540" max="11541" width="10.5703125" style="263" customWidth="1"/>
    <col min="11542" max="11542" width="10.7109375" style="263" customWidth="1"/>
    <col min="11543" max="11776" width="9.140625" style="263"/>
    <col min="11777" max="11777" width="5.85546875" style="263" customWidth="1"/>
    <col min="11778" max="11778" width="35.85546875" style="263" customWidth="1"/>
    <col min="11779" max="11779" width="14" style="263" customWidth="1"/>
    <col min="11780" max="11780" width="13.5703125" style="263" customWidth="1"/>
    <col min="11781" max="11781" width="10.5703125" style="263" customWidth="1"/>
    <col min="11782" max="11783" width="8.5703125" style="263" customWidth="1"/>
    <col min="11784" max="11784" width="11.7109375" style="263" customWidth="1"/>
    <col min="11785" max="11785" width="9.28515625" style="263" customWidth="1"/>
    <col min="11786" max="11786" width="10.5703125" style="263" customWidth="1"/>
    <col min="11787" max="11787" width="25.85546875" style="263" customWidth="1"/>
    <col min="11788" max="11788" width="13.28515625" style="263" customWidth="1"/>
    <col min="11789" max="11789" width="13" style="263" customWidth="1"/>
    <col min="11790" max="11790" width="11.28515625" style="263" customWidth="1"/>
    <col min="11791" max="11791" width="10.7109375" style="263" customWidth="1"/>
    <col min="11792" max="11792" width="12.5703125" style="263" customWidth="1"/>
    <col min="11793" max="11793" width="10.7109375" style="263" customWidth="1"/>
    <col min="11794" max="11794" width="10.5703125" style="263" customWidth="1"/>
    <col min="11795" max="11795" width="12.5703125" style="263" customWidth="1"/>
    <col min="11796" max="11797" width="10.5703125" style="263" customWidth="1"/>
    <col min="11798" max="11798" width="10.7109375" style="263" customWidth="1"/>
    <col min="11799" max="12032" width="9.140625" style="263"/>
    <col min="12033" max="12033" width="5.85546875" style="263" customWidth="1"/>
    <col min="12034" max="12034" width="35.85546875" style="263" customWidth="1"/>
    <col min="12035" max="12035" width="14" style="263" customWidth="1"/>
    <col min="12036" max="12036" width="13.5703125" style="263" customWidth="1"/>
    <col min="12037" max="12037" width="10.5703125" style="263" customWidth="1"/>
    <col min="12038" max="12039" width="8.5703125" style="263" customWidth="1"/>
    <col min="12040" max="12040" width="11.7109375" style="263" customWidth="1"/>
    <col min="12041" max="12041" width="9.28515625" style="263" customWidth="1"/>
    <col min="12042" max="12042" width="10.5703125" style="263" customWidth="1"/>
    <col min="12043" max="12043" width="25.85546875" style="263" customWidth="1"/>
    <col min="12044" max="12044" width="13.28515625" style="263" customWidth="1"/>
    <col min="12045" max="12045" width="13" style="263" customWidth="1"/>
    <col min="12046" max="12046" width="11.28515625" style="263" customWidth="1"/>
    <col min="12047" max="12047" width="10.7109375" style="263" customWidth="1"/>
    <col min="12048" max="12048" width="12.5703125" style="263" customWidth="1"/>
    <col min="12049" max="12049" width="10.7109375" style="263" customWidth="1"/>
    <col min="12050" max="12050" width="10.5703125" style="263" customWidth="1"/>
    <col min="12051" max="12051" width="12.5703125" style="263" customWidth="1"/>
    <col min="12052" max="12053" width="10.5703125" style="263" customWidth="1"/>
    <col min="12054" max="12054" width="10.7109375" style="263" customWidth="1"/>
    <col min="12055" max="12288" width="9.140625" style="263"/>
    <col min="12289" max="12289" width="5.85546875" style="263" customWidth="1"/>
    <col min="12290" max="12290" width="35.85546875" style="263" customWidth="1"/>
    <col min="12291" max="12291" width="14" style="263" customWidth="1"/>
    <col min="12292" max="12292" width="13.5703125" style="263" customWidth="1"/>
    <col min="12293" max="12293" width="10.5703125" style="263" customWidth="1"/>
    <col min="12294" max="12295" width="8.5703125" style="263" customWidth="1"/>
    <col min="12296" max="12296" width="11.7109375" style="263" customWidth="1"/>
    <col min="12297" max="12297" width="9.28515625" style="263" customWidth="1"/>
    <col min="12298" max="12298" width="10.5703125" style="263" customWidth="1"/>
    <col min="12299" max="12299" width="25.85546875" style="263" customWidth="1"/>
    <col min="12300" max="12300" width="13.28515625" style="263" customWidth="1"/>
    <col min="12301" max="12301" width="13" style="263" customWidth="1"/>
    <col min="12302" max="12302" width="11.28515625" style="263" customWidth="1"/>
    <col min="12303" max="12303" width="10.7109375" style="263" customWidth="1"/>
    <col min="12304" max="12304" width="12.5703125" style="263" customWidth="1"/>
    <col min="12305" max="12305" width="10.7109375" style="263" customWidth="1"/>
    <col min="12306" max="12306" width="10.5703125" style="263" customWidth="1"/>
    <col min="12307" max="12307" width="12.5703125" style="263" customWidth="1"/>
    <col min="12308" max="12309" width="10.5703125" style="263" customWidth="1"/>
    <col min="12310" max="12310" width="10.7109375" style="263" customWidth="1"/>
    <col min="12311" max="12544" width="9.140625" style="263"/>
    <col min="12545" max="12545" width="5.85546875" style="263" customWidth="1"/>
    <col min="12546" max="12546" width="35.85546875" style="263" customWidth="1"/>
    <col min="12547" max="12547" width="14" style="263" customWidth="1"/>
    <col min="12548" max="12548" width="13.5703125" style="263" customWidth="1"/>
    <col min="12549" max="12549" width="10.5703125" style="263" customWidth="1"/>
    <col min="12550" max="12551" width="8.5703125" style="263" customWidth="1"/>
    <col min="12552" max="12552" width="11.7109375" style="263" customWidth="1"/>
    <col min="12553" max="12553" width="9.28515625" style="263" customWidth="1"/>
    <col min="12554" max="12554" width="10.5703125" style="263" customWidth="1"/>
    <col min="12555" max="12555" width="25.85546875" style="263" customWidth="1"/>
    <col min="12556" max="12556" width="13.28515625" style="263" customWidth="1"/>
    <col min="12557" max="12557" width="13" style="263" customWidth="1"/>
    <col min="12558" max="12558" width="11.28515625" style="263" customWidth="1"/>
    <col min="12559" max="12559" width="10.7109375" style="263" customWidth="1"/>
    <col min="12560" max="12560" width="12.5703125" style="263" customWidth="1"/>
    <col min="12561" max="12561" width="10.7109375" style="263" customWidth="1"/>
    <col min="12562" max="12562" width="10.5703125" style="263" customWidth="1"/>
    <col min="12563" max="12563" width="12.5703125" style="263" customWidth="1"/>
    <col min="12564" max="12565" width="10.5703125" style="263" customWidth="1"/>
    <col min="12566" max="12566" width="10.7109375" style="263" customWidth="1"/>
    <col min="12567" max="12800" width="9.140625" style="263"/>
    <col min="12801" max="12801" width="5.85546875" style="263" customWidth="1"/>
    <col min="12802" max="12802" width="35.85546875" style="263" customWidth="1"/>
    <col min="12803" max="12803" width="14" style="263" customWidth="1"/>
    <col min="12804" max="12804" width="13.5703125" style="263" customWidth="1"/>
    <col min="12805" max="12805" width="10.5703125" style="263" customWidth="1"/>
    <col min="12806" max="12807" width="8.5703125" style="263" customWidth="1"/>
    <col min="12808" max="12808" width="11.7109375" style="263" customWidth="1"/>
    <col min="12809" max="12809" width="9.28515625" style="263" customWidth="1"/>
    <col min="12810" max="12810" width="10.5703125" style="263" customWidth="1"/>
    <col min="12811" max="12811" width="25.85546875" style="263" customWidth="1"/>
    <col min="12812" max="12812" width="13.28515625" style="263" customWidth="1"/>
    <col min="12813" max="12813" width="13" style="263" customWidth="1"/>
    <col min="12814" max="12814" width="11.28515625" style="263" customWidth="1"/>
    <col min="12815" max="12815" width="10.7109375" style="263" customWidth="1"/>
    <col min="12816" max="12816" width="12.5703125" style="263" customWidth="1"/>
    <col min="12817" max="12817" width="10.7109375" style="263" customWidth="1"/>
    <col min="12818" max="12818" width="10.5703125" style="263" customWidth="1"/>
    <col min="12819" max="12819" width="12.5703125" style="263" customWidth="1"/>
    <col min="12820" max="12821" width="10.5703125" style="263" customWidth="1"/>
    <col min="12822" max="12822" width="10.7109375" style="263" customWidth="1"/>
    <col min="12823" max="13056" width="9.140625" style="263"/>
    <col min="13057" max="13057" width="5.85546875" style="263" customWidth="1"/>
    <col min="13058" max="13058" width="35.85546875" style="263" customWidth="1"/>
    <col min="13059" max="13059" width="14" style="263" customWidth="1"/>
    <col min="13060" max="13060" width="13.5703125" style="263" customWidth="1"/>
    <col min="13061" max="13061" width="10.5703125" style="263" customWidth="1"/>
    <col min="13062" max="13063" width="8.5703125" style="263" customWidth="1"/>
    <col min="13064" max="13064" width="11.7109375" style="263" customWidth="1"/>
    <col min="13065" max="13065" width="9.28515625" style="263" customWidth="1"/>
    <col min="13066" max="13066" width="10.5703125" style="263" customWidth="1"/>
    <col min="13067" max="13067" width="25.85546875" style="263" customWidth="1"/>
    <col min="13068" max="13068" width="13.28515625" style="263" customWidth="1"/>
    <col min="13069" max="13069" width="13" style="263" customWidth="1"/>
    <col min="13070" max="13070" width="11.28515625" style="263" customWidth="1"/>
    <col min="13071" max="13071" width="10.7109375" style="263" customWidth="1"/>
    <col min="13072" max="13072" width="12.5703125" style="263" customWidth="1"/>
    <col min="13073" max="13073" width="10.7109375" style="263" customWidth="1"/>
    <col min="13074" max="13074" width="10.5703125" style="263" customWidth="1"/>
    <col min="13075" max="13075" width="12.5703125" style="263" customWidth="1"/>
    <col min="13076" max="13077" width="10.5703125" style="263" customWidth="1"/>
    <col min="13078" max="13078" width="10.7109375" style="263" customWidth="1"/>
    <col min="13079" max="13312" width="9.140625" style="263"/>
    <col min="13313" max="13313" width="5.85546875" style="263" customWidth="1"/>
    <col min="13314" max="13314" width="35.85546875" style="263" customWidth="1"/>
    <col min="13315" max="13315" width="14" style="263" customWidth="1"/>
    <col min="13316" max="13316" width="13.5703125" style="263" customWidth="1"/>
    <col min="13317" max="13317" width="10.5703125" style="263" customWidth="1"/>
    <col min="13318" max="13319" width="8.5703125" style="263" customWidth="1"/>
    <col min="13320" max="13320" width="11.7109375" style="263" customWidth="1"/>
    <col min="13321" max="13321" width="9.28515625" style="263" customWidth="1"/>
    <col min="13322" max="13322" width="10.5703125" style="263" customWidth="1"/>
    <col min="13323" max="13323" width="25.85546875" style="263" customWidth="1"/>
    <col min="13324" max="13324" width="13.28515625" style="263" customWidth="1"/>
    <col min="13325" max="13325" width="13" style="263" customWidth="1"/>
    <col min="13326" max="13326" width="11.28515625" style="263" customWidth="1"/>
    <col min="13327" max="13327" width="10.7109375" style="263" customWidth="1"/>
    <col min="13328" max="13328" width="12.5703125" style="263" customWidth="1"/>
    <col min="13329" max="13329" width="10.7109375" style="263" customWidth="1"/>
    <col min="13330" max="13330" width="10.5703125" style="263" customWidth="1"/>
    <col min="13331" max="13331" width="12.5703125" style="263" customWidth="1"/>
    <col min="13332" max="13333" width="10.5703125" style="263" customWidth="1"/>
    <col min="13334" max="13334" width="10.7109375" style="263" customWidth="1"/>
    <col min="13335" max="13568" width="9.140625" style="263"/>
    <col min="13569" max="13569" width="5.85546875" style="263" customWidth="1"/>
    <col min="13570" max="13570" width="35.85546875" style="263" customWidth="1"/>
    <col min="13571" max="13571" width="14" style="263" customWidth="1"/>
    <col min="13572" max="13572" width="13.5703125" style="263" customWidth="1"/>
    <col min="13573" max="13573" width="10.5703125" style="263" customWidth="1"/>
    <col min="13574" max="13575" width="8.5703125" style="263" customWidth="1"/>
    <col min="13576" max="13576" width="11.7109375" style="263" customWidth="1"/>
    <col min="13577" max="13577" width="9.28515625" style="263" customWidth="1"/>
    <col min="13578" max="13578" width="10.5703125" style="263" customWidth="1"/>
    <col min="13579" max="13579" width="25.85546875" style="263" customWidth="1"/>
    <col min="13580" max="13580" width="13.28515625" style="263" customWidth="1"/>
    <col min="13581" max="13581" width="13" style="263" customWidth="1"/>
    <col min="13582" max="13582" width="11.28515625" style="263" customWidth="1"/>
    <col min="13583" max="13583" width="10.7109375" style="263" customWidth="1"/>
    <col min="13584" max="13584" width="12.5703125" style="263" customWidth="1"/>
    <col min="13585" max="13585" width="10.7109375" style="263" customWidth="1"/>
    <col min="13586" max="13586" width="10.5703125" style="263" customWidth="1"/>
    <col min="13587" max="13587" width="12.5703125" style="263" customWidth="1"/>
    <col min="13588" max="13589" width="10.5703125" style="263" customWidth="1"/>
    <col min="13590" max="13590" width="10.7109375" style="263" customWidth="1"/>
    <col min="13591" max="13824" width="9.140625" style="263"/>
    <col min="13825" max="13825" width="5.85546875" style="263" customWidth="1"/>
    <col min="13826" max="13826" width="35.85546875" style="263" customWidth="1"/>
    <col min="13827" max="13827" width="14" style="263" customWidth="1"/>
    <col min="13828" max="13828" width="13.5703125" style="263" customWidth="1"/>
    <col min="13829" max="13829" width="10.5703125" style="263" customWidth="1"/>
    <col min="13830" max="13831" width="8.5703125" style="263" customWidth="1"/>
    <col min="13832" max="13832" width="11.7109375" style="263" customWidth="1"/>
    <col min="13833" max="13833" width="9.28515625" style="263" customWidth="1"/>
    <col min="13834" max="13834" width="10.5703125" style="263" customWidth="1"/>
    <col min="13835" max="13835" width="25.85546875" style="263" customWidth="1"/>
    <col min="13836" max="13836" width="13.28515625" style="263" customWidth="1"/>
    <col min="13837" max="13837" width="13" style="263" customWidth="1"/>
    <col min="13838" max="13838" width="11.28515625" style="263" customWidth="1"/>
    <col min="13839" max="13839" width="10.7109375" style="263" customWidth="1"/>
    <col min="13840" max="13840" width="12.5703125" style="263" customWidth="1"/>
    <col min="13841" max="13841" width="10.7109375" style="263" customWidth="1"/>
    <col min="13842" max="13842" width="10.5703125" style="263" customWidth="1"/>
    <col min="13843" max="13843" width="12.5703125" style="263" customWidth="1"/>
    <col min="13844" max="13845" width="10.5703125" style="263" customWidth="1"/>
    <col min="13846" max="13846" width="10.7109375" style="263" customWidth="1"/>
    <col min="13847" max="14080" width="9.140625" style="263"/>
    <col min="14081" max="14081" width="5.85546875" style="263" customWidth="1"/>
    <col min="14082" max="14082" width="35.85546875" style="263" customWidth="1"/>
    <col min="14083" max="14083" width="14" style="263" customWidth="1"/>
    <col min="14084" max="14084" width="13.5703125" style="263" customWidth="1"/>
    <col min="14085" max="14085" width="10.5703125" style="263" customWidth="1"/>
    <col min="14086" max="14087" width="8.5703125" style="263" customWidth="1"/>
    <col min="14088" max="14088" width="11.7109375" style="263" customWidth="1"/>
    <col min="14089" max="14089" width="9.28515625" style="263" customWidth="1"/>
    <col min="14090" max="14090" width="10.5703125" style="263" customWidth="1"/>
    <col min="14091" max="14091" width="25.85546875" style="263" customWidth="1"/>
    <col min="14092" max="14092" width="13.28515625" style="263" customWidth="1"/>
    <col min="14093" max="14093" width="13" style="263" customWidth="1"/>
    <col min="14094" max="14094" width="11.28515625" style="263" customWidth="1"/>
    <col min="14095" max="14095" width="10.7109375" style="263" customWidth="1"/>
    <col min="14096" max="14096" width="12.5703125" style="263" customWidth="1"/>
    <col min="14097" max="14097" width="10.7109375" style="263" customWidth="1"/>
    <col min="14098" max="14098" width="10.5703125" style="263" customWidth="1"/>
    <col min="14099" max="14099" width="12.5703125" style="263" customWidth="1"/>
    <col min="14100" max="14101" width="10.5703125" style="263" customWidth="1"/>
    <col min="14102" max="14102" width="10.7109375" style="263" customWidth="1"/>
    <col min="14103" max="14336" width="9.140625" style="263"/>
    <col min="14337" max="14337" width="5.85546875" style="263" customWidth="1"/>
    <col min="14338" max="14338" width="35.85546875" style="263" customWidth="1"/>
    <col min="14339" max="14339" width="14" style="263" customWidth="1"/>
    <col min="14340" max="14340" width="13.5703125" style="263" customWidth="1"/>
    <col min="14341" max="14341" width="10.5703125" style="263" customWidth="1"/>
    <col min="14342" max="14343" width="8.5703125" style="263" customWidth="1"/>
    <col min="14344" max="14344" width="11.7109375" style="263" customWidth="1"/>
    <col min="14345" max="14345" width="9.28515625" style="263" customWidth="1"/>
    <col min="14346" max="14346" width="10.5703125" style="263" customWidth="1"/>
    <col min="14347" max="14347" width="25.85546875" style="263" customWidth="1"/>
    <col min="14348" max="14348" width="13.28515625" style="263" customWidth="1"/>
    <col min="14349" max="14349" width="13" style="263" customWidth="1"/>
    <col min="14350" max="14350" width="11.28515625" style="263" customWidth="1"/>
    <col min="14351" max="14351" width="10.7109375" style="263" customWidth="1"/>
    <col min="14352" max="14352" width="12.5703125" style="263" customWidth="1"/>
    <col min="14353" max="14353" width="10.7109375" style="263" customWidth="1"/>
    <col min="14354" max="14354" width="10.5703125" style="263" customWidth="1"/>
    <col min="14355" max="14355" width="12.5703125" style="263" customWidth="1"/>
    <col min="14356" max="14357" width="10.5703125" style="263" customWidth="1"/>
    <col min="14358" max="14358" width="10.7109375" style="263" customWidth="1"/>
    <col min="14359" max="14592" width="9.140625" style="263"/>
    <col min="14593" max="14593" width="5.85546875" style="263" customWidth="1"/>
    <col min="14594" max="14594" width="35.85546875" style="263" customWidth="1"/>
    <col min="14595" max="14595" width="14" style="263" customWidth="1"/>
    <col min="14596" max="14596" width="13.5703125" style="263" customWidth="1"/>
    <col min="14597" max="14597" width="10.5703125" style="263" customWidth="1"/>
    <col min="14598" max="14599" width="8.5703125" style="263" customWidth="1"/>
    <col min="14600" max="14600" width="11.7109375" style="263" customWidth="1"/>
    <col min="14601" max="14601" width="9.28515625" style="263" customWidth="1"/>
    <col min="14602" max="14602" width="10.5703125" style="263" customWidth="1"/>
    <col min="14603" max="14603" width="25.85546875" style="263" customWidth="1"/>
    <col min="14604" max="14604" width="13.28515625" style="263" customWidth="1"/>
    <col min="14605" max="14605" width="13" style="263" customWidth="1"/>
    <col min="14606" max="14606" width="11.28515625" style="263" customWidth="1"/>
    <col min="14607" max="14607" width="10.7109375" style="263" customWidth="1"/>
    <col min="14608" max="14608" width="12.5703125" style="263" customWidth="1"/>
    <col min="14609" max="14609" width="10.7109375" style="263" customWidth="1"/>
    <col min="14610" max="14610" width="10.5703125" style="263" customWidth="1"/>
    <col min="14611" max="14611" width="12.5703125" style="263" customWidth="1"/>
    <col min="14612" max="14613" width="10.5703125" style="263" customWidth="1"/>
    <col min="14614" max="14614" width="10.7109375" style="263" customWidth="1"/>
    <col min="14615" max="14848" width="9.140625" style="263"/>
    <col min="14849" max="14849" width="5.85546875" style="263" customWidth="1"/>
    <col min="14850" max="14850" width="35.85546875" style="263" customWidth="1"/>
    <col min="14851" max="14851" width="14" style="263" customWidth="1"/>
    <col min="14852" max="14852" width="13.5703125" style="263" customWidth="1"/>
    <col min="14853" max="14853" width="10.5703125" style="263" customWidth="1"/>
    <col min="14854" max="14855" width="8.5703125" style="263" customWidth="1"/>
    <col min="14856" max="14856" width="11.7109375" style="263" customWidth="1"/>
    <col min="14857" max="14857" width="9.28515625" style="263" customWidth="1"/>
    <col min="14858" max="14858" width="10.5703125" style="263" customWidth="1"/>
    <col min="14859" max="14859" width="25.85546875" style="263" customWidth="1"/>
    <col min="14860" max="14860" width="13.28515625" style="263" customWidth="1"/>
    <col min="14861" max="14861" width="13" style="263" customWidth="1"/>
    <col min="14862" max="14862" width="11.28515625" style="263" customWidth="1"/>
    <col min="14863" max="14863" width="10.7109375" style="263" customWidth="1"/>
    <col min="14864" max="14864" width="12.5703125" style="263" customWidth="1"/>
    <col min="14865" max="14865" width="10.7109375" style="263" customWidth="1"/>
    <col min="14866" max="14866" width="10.5703125" style="263" customWidth="1"/>
    <col min="14867" max="14867" width="12.5703125" style="263" customWidth="1"/>
    <col min="14868" max="14869" width="10.5703125" style="263" customWidth="1"/>
    <col min="14870" max="14870" width="10.7109375" style="263" customWidth="1"/>
    <col min="14871" max="15104" width="9.140625" style="263"/>
    <col min="15105" max="15105" width="5.85546875" style="263" customWidth="1"/>
    <col min="15106" max="15106" width="35.85546875" style="263" customWidth="1"/>
    <col min="15107" max="15107" width="14" style="263" customWidth="1"/>
    <col min="15108" max="15108" width="13.5703125" style="263" customWidth="1"/>
    <col min="15109" max="15109" width="10.5703125" style="263" customWidth="1"/>
    <col min="15110" max="15111" width="8.5703125" style="263" customWidth="1"/>
    <col min="15112" max="15112" width="11.7109375" style="263" customWidth="1"/>
    <col min="15113" max="15113" width="9.28515625" style="263" customWidth="1"/>
    <col min="15114" max="15114" width="10.5703125" style="263" customWidth="1"/>
    <col min="15115" max="15115" width="25.85546875" style="263" customWidth="1"/>
    <col min="15116" max="15116" width="13.28515625" style="263" customWidth="1"/>
    <col min="15117" max="15117" width="13" style="263" customWidth="1"/>
    <col min="15118" max="15118" width="11.28515625" style="263" customWidth="1"/>
    <col min="15119" max="15119" width="10.7109375" style="263" customWidth="1"/>
    <col min="15120" max="15120" width="12.5703125" style="263" customWidth="1"/>
    <col min="15121" max="15121" width="10.7109375" style="263" customWidth="1"/>
    <col min="15122" max="15122" width="10.5703125" style="263" customWidth="1"/>
    <col min="15123" max="15123" width="12.5703125" style="263" customWidth="1"/>
    <col min="15124" max="15125" width="10.5703125" style="263" customWidth="1"/>
    <col min="15126" max="15126" width="10.7109375" style="263" customWidth="1"/>
    <col min="15127" max="15360" width="9.140625" style="263"/>
    <col min="15361" max="15361" width="5.85546875" style="263" customWidth="1"/>
    <col min="15362" max="15362" width="35.85546875" style="263" customWidth="1"/>
    <col min="15363" max="15363" width="14" style="263" customWidth="1"/>
    <col min="15364" max="15364" width="13.5703125" style="263" customWidth="1"/>
    <col min="15365" max="15365" width="10.5703125" style="263" customWidth="1"/>
    <col min="15366" max="15367" width="8.5703125" style="263" customWidth="1"/>
    <col min="15368" max="15368" width="11.7109375" style="263" customWidth="1"/>
    <col min="15369" max="15369" width="9.28515625" style="263" customWidth="1"/>
    <col min="15370" max="15370" width="10.5703125" style="263" customWidth="1"/>
    <col min="15371" max="15371" width="25.85546875" style="263" customWidth="1"/>
    <col min="15372" max="15372" width="13.28515625" style="263" customWidth="1"/>
    <col min="15373" max="15373" width="13" style="263" customWidth="1"/>
    <col min="15374" max="15374" width="11.28515625" style="263" customWidth="1"/>
    <col min="15375" max="15375" width="10.7109375" style="263" customWidth="1"/>
    <col min="15376" max="15376" width="12.5703125" style="263" customWidth="1"/>
    <col min="15377" max="15377" width="10.7109375" style="263" customWidth="1"/>
    <col min="15378" max="15378" width="10.5703125" style="263" customWidth="1"/>
    <col min="15379" max="15379" width="12.5703125" style="263" customWidth="1"/>
    <col min="15380" max="15381" width="10.5703125" style="263" customWidth="1"/>
    <col min="15382" max="15382" width="10.7109375" style="263" customWidth="1"/>
    <col min="15383" max="15616" width="9.140625" style="263"/>
    <col min="15617" max="15617" width="5.85546875" style="263" customWidth="1"/>
    <col min="15618" max="15618" width="35.85546875" style="263" customWidth="1"/>
    <col min="15619" max="15619" width="14" style="263" customWidth="1"/>
    <col min="15620" max="15620" width="13.5703125" style="263" customWidth="1"/>
    <col min="15621" max="15621" width="10.5703125" style="263" customWidth="1"/>
    <col min="15622" max="15623" width="8.5703125" style="263" customWidth="1"/>
    <col min="15624" max="15624" width="11.7109375" style="263" customWidth="1"/>
    <col min="15625" max="15625" width="9.28515625" style="263" customWidth="1"/>
    <col min="15626" max="15626" width="10.5703125" style="263" customWidth="1"/>
    <col min="15627" max="15627" width="25.85546875" style="263" customWidth="1"/>
    <col min="15628" max="15628" width="13.28515625" style="263" customWidth="1"/>
    <col min="15629" max="15629" width="13" style="263" customWidth="1"/>
    <col min="15630" max="15630" width="11.28515625" style="263" customWidth="1"/>
    <col min="15631" max="15631" width="10.7109375" style="263" customWidth="1"/>
    <col min="15632" max="15632" width="12.5703125" style="263" customWidth="1"/>
    <col min="15633" max="15633" width="10.7109375" style="263" customWidth="1"/>
    <col min="15634" max="15634" width="10.5703125" style="263" customWidth="1"/>
    <col min="15635" max="15635" width="12.5703125" style="263" customWidth="1"/>
    <col min="15636" max="15637" width="10.5703125" style="263" customWidth="1"/>
    <col min="15638" max="15638" width="10.7109375" style="263" customWidth="1"/>
    <col min="15639" max="15872" width="9.140625" style="263"/>
    <col min="15873" max="15873" width="5.85546875" style="263" customWidth="1"/>
    <col min="15874" max="15874" width="35.85546875" style="263" customWidth="1"/>
    <col min="15875" max="15875" width="14" style="263" customWidth="1"/>
    <col min="15876" max="15876" width="13.5703125" style="263" customWidth="1"/>
    <col min="15877" max="15877" width="10.5703125" style="263" customWidth="1"/>
    <col min="15878" max="15879" width="8.5703125" style="263" customWidth="1"/>
    <col min="15880" max="15880" width="11.7109375" style="263" customWidth="1"/>
    <col min="15881" max="15881" width="9.28515625" style="263" customWidth="1"/>
    <col min="15882" max="15882" width="10.5703125" style="263" customWidth="1"/>
    <col min="15883" max="15883" width="25.85546875" style="263" customWidth="1"/>
    <col min="15884" max="15884" width="13.28515625" style="263" customWidth="1"/>
    <col min="15885" max="15885" width="13" style="263" customWidth="1"/>
    <col min="15886" max="15886" width="11.28515625" style="263" customWidth="1"/>
    <col min="15887" max="15887" width="10.7109375" style="263" customWidth="1"/>
    <col min="15888" max="15888" width="12.5703125" style="263" customWidth="1"/>
    <col min="15889" max="15889" width="10.7109375" style="263" customWidth="1"/>
    <col min="15890" max="15890" width="10.5703125" style="263" customWidth="1"/>
    <col min="15891" max="15891" width="12.5703125" style="263" customWidth="1"/>
    <col min="15892" max="15893" width="10.5703125" style="263" customWidth="1"/>
    <col min="15894" max="15894" width="10.7109375" style="263" customWidth="1"/>
    <col min="15895" max="16128" width="9.140625" style="263"/>
    <col min="16129" max="16129" width="5.85546875" style="263" customWidth="1"/>
    <col min="16130" max="16130" width="35.85546875" style="263" customWidth="1"/>
    <col min="16131" max="16131" width="14" style="263" customWidth="1"/>
    <col min="16132" max="16132" width="13.5703125" style="263" customWidth="1"/>
    <col min="16133" max="16133" width="10.5703125" style="263" customWidth="1"/>
    <col min="16134" max="16135" width="8.5703125" style="263" customWidth="1"/>
    <col min="16136" max="16136" width="11.7109375" style="263" customWidth="1"/>
    <col min="16137" max="16137" width="9.28515625" style="263" customWidth="1"/>
    <col min="16138" max="16138" width="10.5703125" style="263" customWidth="1"/>
    <col min="16139" max="16139" width="25.85546875" style="263" customWidth="1"/>
    <col min="16140" max="16140" width="13.28515625" style="263" customWidth="1"/>
    <col min="16141" max="16141" width="13" style="263" customWidth="1"/>
    <col min="16142" max="16142" width="11.28515625" style="263" customWidth="1"/>
    <col min="16143" max="16143" width="10.7109375" style="263" customWidth="1"/>
    <col min="16144" max="16144" width="12.5703125" style="263" customWidth="1"/>
    <col min="16145" max="16145" width="10.7109375" style="263" customWidth="1"/>
    <col min="16146" max="16146" width="10.5703125" style="263" customWidth="1"/>
    <col min="16147" max="16147" width="12.5703125" style="263" customWidth="1"/>
    <col min="16148" max="16149" width="10.5703125" style="263" customWidth="1"/>
    <col min="16150" max="16150" width="10.7109375" style="263" customWidth="1"/>
    <col min="16151" max="16384" width="9.140625" style="263"/>
  </cols>
  <sheetData>
    <row r="1" spans="1:22" ht="21" customHeight="1">
      <c r="A1" s="259"/>
      <c r="B1" s="259"/>
      <c r="C1" s="260"/>
      <c r="D1" s="260"/>
      <c r="E1" s="260"/>
      <c r="F1" s="261"/>
      <c r="G1" s="261"/>
      <c r="H1" s="261"/>
      <c r="I1" s="260"/>
      <c r="J1" s="260"/>
      <c r="K1" s="260"/>
      <c r="L1" s="260"/>
      <c r="M1" s="260"/>
      <c r="N1" s="261"/>
      <c r="O1" s="262"/>
      <c r="P1" s="260"/>
      <c r="Q1" s="262"/>
      <c r="R1" s="261"/>
      <c r="S1" s="261"/>
      <c r="T1" s="261"/>
      <c r="U1" s="262"/>
      <c r="V1" s="262" t="s">
        <v>749</v>
      </c>
    </row>
    <row r="2" spans="1:22" ht="21" customHeight="1">
      <c r="A2" s="1110" t="s">
        <v>750</v>
      </c>
      <c r="B2" s="1110"/>
      <c r="C2" s="1110"/>
      <c r="D2" s="1110"/>
      <c r="E2" s="1110"/>
      <c r="F2" s="1110"/>
      <c r="G2" s="1110"/>
      <c r="H2" s="1110"/>
      <c r="I2" s="1110"/>
      <c r="J2" s="1110"/>
      <c r="K2" s="1110"/>
      <c r="L2" s="1110"/>
      <c r="M2" s="1110"/>
      <c r="N2" s="1110"/>
      <c r="O2" s="1110"/>
      <c r="P2" s="1110"/>
      <c r="Q2" s="1110"/>
      <c r="R2" s="1110"/>
      <c r="S2" s="1110"/>
      <c r="T2" s="1110"/>
      <c r="U2" s="1110"/>
      <c r="V2" s="1110"/>
    </row>
    <row r="3" spans="1:22" ht="21" customHeight="1">
      <c r="A3" s="1111" t="s">
        <v>1210</v>
      </c>
      <c r="B3" s="1111"/>
      <c r="C3" s="1111"/>
      <c r="D3" s="1111"/>
      <c r="E3" s="1111"/>
      <c r="F3" s="1111"/>
      <c r="G3" s="1111"/>
      <c r="H3" s="1111"/>
      <c r="I3" s="1111"/>
      <c r="J3" s="1111"/>
      <c r="K3" s="1111"/>
      <c r="L3" s="1111"/>
      <c r="M3" s="1111"/>
      <c r="N3" s="1111"/>
      <c r="O3" s="1111"/>
      <c r="P3" s="1111"/>
      <c r="Q3" s="1111"/>
      <c r="R3" s="1111"/>
      <c r="S3" s="1111"/>
      <c r="T3" s="1111"/>
      <c r="U3" s="1111"/>
      <c r="V3" s="1111"/>
    </row>
    <row r="4" spans="1:22" ht="19.5" customHeight="1">
      <c r="A4" s="265"/>
      <c r="B4" s="749"/>
      <c r="C4" s="266"/>
      <c r="D4" s="266"/>
      <c r="E4" s="266"/>
      <c r="F4" s="264"/>
      <c r="G4" s="1111"/>
      <c r="H4" s="1111"/>
      <c r="I4" s="1111"/>
      <c r="J4" s="264"/>
      <c r="K4" s="264"/>
      <c r="L4" s="1111"/>
      <c r="M4" s="1111"/>
      <c r="N4" s="1111"/>
      <c r="O4" s="264"/>
      <c r="P4" s="266"/>
      <c r="Q4" s="1208" t="s">
        <v>2</v>
      </c>
      <c r="R4" s="1208"/>
      <c r="S4" s="1208"/>
      <c r="T4" s="1208"/>
      <c r="U4" s="1208"/>
      <c r="V4" s="1208"/>
    </row>
    <row r="5" spans="1:22" s="268" customFormat="1" ht="24.75" customHeight="1">
      <c r="A5" s="1132" t="s">
        <v>3</v>
      </c>
      <c r="B5" s="1132" t="s">
        <v>620</v>
      </c>
      <c r="C5" s="1131" t="s">
        <v>751</v>
      </c>
      <c r="D5" s="1132" t="s">
        <v>752</v>
      </c>
      <c r="E5" s="1132"/>
      <c r="F5" s="1132"/>
      <c r="G5" s="1132"/>
      <c r="H5" s="1132"/>
      <c r="I5" s="1132"/>
      <c r="J5" s="1132"/>
      <c r="K5" s="1132"/>
      <c r="L5" s="1132"/>
      <c r="M5" s="1132"/>
      <c r="N5" s="1132"/>
      <c r="O5" s="1132"/>
      <c r="P5" s="1132"/>
      <c r="Q5" s="1132"/>
      <c r="R5" s="1131" t="s">
        <v>753</v>
      </c>
      <c r="S5" s="1131"/>
      <c r="T5" s="1131"/>
      <c r="U5" s="1131"/>
      <c r="V5" s="1131" t="s">
        <v>31</v>
      </c>
    </row>
    <row r="6" spans="1:22" s="268" customFormat="1" ht="27.75" customHeight="1">
      <c r="A6" s="1132"/>
      <c r="B6" s="1132"/>
      <c r="C6" s="1131"/>
      <c r="D6" s="1131" t="s">
        <v>754</v>
      </c>
      <c r="E6" s="1139" t="s">
        <v>99</v>
      </c>
      <c r="F6" s="1140"/>
      <c r="G6" s="1140"/>
      <c r="H6" s="1140"/>
      <c r="I6" s="1140"/>
      <c r="J6" s="1140"/>
      <c r="K6" s="1141"/>
      <c r="L6" s="1132" t="s">
        <v>63</v>
      </c>
      <c r="M6" s="1132"/>
      <c r="N6" s="1132"/>
      <c r="O6" s="1131" t="s">
        <v>701</v>
      </c>
      <c r="P6" s="1131" t="s">
        <v>370</v>
      </c>
      <c r="Q6" s="1131" t="s">
        <v>535</v>
      </c>
      <c r="R6" s="1131" t="s">
        <v>89</v>
      </c>
      <c r="S6" s="1131" t="s">
        <v>755</v>
      </c>
      <c r="T6" s="1131" t="s">
        <v>756</v>
      </c>
      <c r="U6" s="1131" t="s">
        <v>757</v>
      </c>
      <c r="V6" s="1131"/>
    </row>
    <row r="7" spans="1:22" s="268" customFormat="1" ht="27.75" customHeight="1">
      <c r="A7" s="1132"/>
      <c r="B7" s="1132"/>
      <c r="C7" s="1131"/>
      <c r="D7" s="1131"/>
      <c r="E7" s="1131" t="s">
        <v>89</v>
      </c>
      <c r="F7" s="1132" t="s">
        <v>40</v>
      </c>
      <c r="G7" s="1132"/>
      <c r="H7" s="1131" t="s">
        <v>720</v>
      </c>
      <c r="I7" s="1131" t="s">
        <v>721</v>
      </c>
      <c r="J7" s="1131" t="s">
        <v>360</v>
      </c>
      <c r="K7" s="1125" t="s">
        <v>722</v>
      </c>
      <c r="L7" s="1131" t="s">
        <v>89</v>
      </c>
      <c r="M7" s="1132" t="s">
        <v>40</v>
      </c>
      <c r="N7" s="1132"/>
      <c r="O7" s="1131"/>
      <c r="P7" s="1131"/>
      <c r="Q7" s="1131"/>
      <c r="R7" s="1131"/>
      <c r="S7" s="1131"/>
      <c r="T7" s="1131"/>
      <c r="U7" s="1131"/>
      <c r="V7" s="1131"/>
    </row>
    <row r="8" spans="1:22" s="268" customFormat="1" ht="242.25" customHeight="1">
      <c r="A8" s="1132"/>
      <c r="B8" s="1132"/>
      <c r="C8" s="1131"/>
      <c r="D8" s="1131"/>
      <c r="E8" s="1131"/>
      <c r="F8" s="269" t="s">
        <v>723</v>
      </c>
      <c r="G8" s="269" t="s">
        <v>49</v>
      </c>
      <c r="H8" s="1131"/>
      <c r="I8" s="1131"/>
      <c r="J8" s="1131"/>
      <c r="K8" s="1127"/>
      <c r="L8" s="1131"/>
      <c r="M8" s="269" t="s">
        <v>723</v>
      </c>
      <c r="N8" s="269" t="s">
        <v>724</v>
      </c>
      <c r="O8" s="1131"/>
      <c r="P8" s="1131"/>
      <c r="Q8" s="1131"/>
      <c r="R8" s="1131"/>
      <c r="S8" s="1131"/>
      <c r="T8" s="1131"/>
      <c r="U8" s="1131"/>
      <c r="V8" s="1131"/>
    </row>
    <row r="9" spans="1:22" s="282" customFormat="1" ht="39.75" customHeight="1">
      <c r="A9" s="278" t="s">
        <v>10</v>
      </c>
      <c r="B9" s="278" t="s">
        <v>11</v>
      </c>
      <c r="C9" s="279" t="s">
        <v>758</v>
      </c>
      <c r="D9" s="280" t="s">
        <v>759</v>
      </c>
      <c r="E9" s="281" t="s">
        <v>760</v>
      </c>
      <c r="F9" s="278">
        <v>4</v>
      </c>
      <c r="G9" s="278">
        <f>F9+1</f>
        <v>5</v>
      </c>
      <c r="H9" s="278">
        <f>G9+1</f>
        <v>6</v>
      </c>
      <c r="I9" s="278">
        <f>H9+1</f>
        <v>7</v>
      </c>
      <c r="J9" s="278">
        <f>I9+1</f>
        <v>8</v>
      </c>
      <c r="K9" s="278">
        <f t="shared" ref="K9:Q9" si="0">J9+1</f>
        <v>9</v>
      </c>
      <c r="L9" s="278">
        <f t="shared" si="0"/>
        <v>10</v>
      </c>
      <c r="M9" s="278">
        <f t="shared" si="0"/>
        <v>11</v>
      </c>
      <c r="N9" s="278">
        <f t="shared" si="0"/>
        <v>12</v>
      </c>
      <c r="O9" s="278">
        <f t="shared" si="0"/>
        <v>13</v>
      </c>
      <c r="P9" s="278">
        <f t="shared" si="0"/>
        <v>14</v>
      </c>
      <c r="Q9" s="278">
        <f t="shared" si="0"/>
        <v>15</v>
      </c>
      <c r="R9" s="279" t="s">
        <v>761</v>
      </c>
      <c r="S9" s="278">
        <v>17</v>
      </c>
      <c r="T9" s="278">
        <v>18</v>
      </c>
      <c r="U9" s="278">
        <f>T9+1</f>
        <v>19</v>
      </c>
      <c r="V9" s="278">
        <f>U9+1</f>
        <v>20</v>
      </c>
    </row>
    <row r="10" spans="1:22" s="285" customFormat="1" ht="30.75" customHeight="1">
      <c r="A10" s="270"/>
      <c r="B10" s="283" t="s">
        <v>102</v>
      </c>
      <c r="C10" s="284">
        <f t="shared" ref="C10:V10" si="1">SUM(C11:C20)</f>
        <v>5426311</v>
      </c>
      <c r="D10" s="284">
        <f t="shared" si="1"/>
        <v>5246122</v>
      </c>
      <c r="E10" s="284">
        <f t="shared" si="1"/>
        <v>512991</v>
      </c>
      <c r="F10" s="284">
        <f t="shared" si="1"/>
        <v>0</v>
      </c>
      <c r="G10" s="284">
        <f t="shared" si="1"/>
        <v>0</v>
      </c>
      <c r="H10" s="284">
        <f t="shared" si="1"/>
        <v>81791</v>
      </c>
      <c r="I10" s="284">
        <f t="shared" si="1"/>
        <v>0</v>
      </c>
      <c r="J10" s="284">
        <f t="shared" si="1"/>
        <v>343200</v>
      </c>
      <c r="K10" s="284">
        <f t="shared" si="1"/>
        <v>88000</v>
      </c>
      <c r="L10" s="284">
        <f t="shared" si="1"/>
        <v>4628208</v>
      </c>
      <c r="M10" s="284">
        <f t="shared" si="1"/>
        <v>2770588</v>
      </c>
      <c r="N10" s="284">
        <f t="shared" si="1"/>
        <v>2000</v>
      </c>
      <c r="O10" s="284">
        <f t="shared" si="1"/>
        <v>0</v>
      </c>
      <c r="P10" s="284">
        <f t="shared" si="1"/>
        <v>104923</v>
      </c>
      <c r="Q10" s="284">
        <f t="shared" si="1"/>
        <v>0</v>
      </c>
      <c r="R10" s="284">
        <f t="shared" si="1"/>
        <v>180189</v>
      </c>
      <c r="S10" s="284">
        <f t="shared" si="1"/>
        <v>0</v>
      </c>
      <c r="T10" s="284">
        <f t="shared" si="1"/>
        <v>180189</v>
      </c>
      <c r="U10" s="284">
        <f t="shared" si="1"/>
        <v>0</v>
      </c>
      <c r="V10" s="284">
        <f t="shared" si="1"/>
        <v>0</v>
      </c>
    </row>
    <row r="11" spans="1:22" s="266" customFormat="1" ht="30.75" customHeight="1">
      <c r="A11" s="272">
        <v>1</v>
      </c>
      <c r="B11" s="273" t="s">
        <v>613</v>
      </c>
      <c r="C11" s="253">
        <f>D11+R11</f>
        <v>1176384</v>
      </c>
      <c r="D11" s="253">
        <f>E11+L11+P11</f>
        <v>1150333</v>
      </c>
      <c r="E11" s="253">
        <f>H11+I11+J11+K11</f>
        <v>280410</v>
      </c>
      <c r="F11" s="253"/>
      <c r="G11" s="253"/>
      <c r="H11" s="253">
        <v>16410</v>
      </c>
      <c r="I11" s="253"/>
      <c r="J11" s="253">
        <v>176000</v>
      </c>
      <c r="K11" s="253">
        <v>88000</v>
      </c>
      <c r="L11" s="253">
        <v>846916</v>
      </c>
      <c r="M11" s="253">
        <v>512624</v>
      </c>
      <c r="N11" s="253">
        <v>200</v>
      </c>
      <c r="O11" s="253"/>
      <c r="P11" s="253">
        <v>23007</v>
      </c>
      <c r="Q11" s="253"/>
      <c r="R11" s="253">
        <f>S11+T11+U11</f>
        <v>26051</v>
      </c>
      <c r="S11" s="253"/>
      <c r="T11" s="253">
        <v>26051</v>
      </c>
      <c r="U11" s="253">
        <v>0</v>
      </c>
      <c r="V11" s="253"/>
    </row>
    <row r="12" spans="1:22" s="266" customFormat="1" ht="30.75" customHeight="1">
      <c r="A12" s="272">
        <f>A11+1</f>
        <v>2</v>
      </c>
      <c r="B12" s="273" t="s">
        <v>612</v>
      </c>
      <c r="C12" s="253">
        <f t="shared" ref="C12:C20" si="2">D12+R12</f>
        <v>621631</v>
      </c>
      <c r="D12" s="253">
        <f t="shared" ref="D12:D20" si="3">E12+L12+P12</f>
        <v>602448</v>
      </c>
      <c r="E12" s="253">
        <f t="shared" ref="E12:E20" si="4">H12+I12+J12+K12</f>
        <v>15385</v>
      </c>
      <c r="F12" s="253"/>
      <c r="G12" s="253"/>
      <c r="H12" s="253">
        <v>7025</v>
      </c>
      <c r="I12" s="253"/>
      <c r="J12" s="253">
        <v>8360</v>
      </c>
      <c r="K12" s="253"/>
      <c r="L12" s="253">
        <v>575014</v>
      </c>
      <c r="M12" s="253">
        <v>371451</v>
      </c>
      <c r="N12" s="253">
        <v>200</v>
      </c>
      <c r="O12" s="253"/>
      <c r="P12" s="253">
        <v>12049</v>
      </c>
      <c r="Q12" s="253"/>
      <c r="R12" s="253">
        <f t="shared" ref="R12:R20" si="5">S12+T12+U12</f>
        <v>19183</v>
      </c>
      <c r="S12" s="253"/>
      <c r="T12" s="253">
        <v>19183</v>
      </c>
      <c r="U12" s="253">
        <v>0</v>
      </c>
      <c r="V12" s="253"/>
    </row>
    <row r="13" spans="1:22" s="266" customFormat="1" ht="30.75" customHeight="1">
      <c r="A13" s="272">
        <f t="shared" ref="A13:A20" si="6">A12+1</f>
        <v>3</v>
      </c>
      <c r="B13" s="273" t="s">
        <v>611</v>
      </c>
      <c r="C13" s="253">
        <f t="shared" si="2"/>
        <v>509366</v>
      </c>
      <c r="D13" s="253">
        <f t="shared" si="3"/>
        <v>489207</v>
      </c>
      <c r="E13" s="253">
        <f t="shared" si="4"/>
        <v>20571</v>
      </c>
      <c r="F13" s="253"/>
      <c r="G13" s="253"/>
      <c r="H13" s="253">
        <v>7371</v>
      </c>
      <c r="I13" s="253"/>
      <c r="J13" s="253">
        <v>13200</v>
      </c>
      <c r="K13" s="253"/>
      <c r="L13" s="253">
        <v>458852</v>
      </c>
      <c r="M13" s="253">
        <v>298699</v>
      </c>
      <c r="N13" s="253">
        <v>200</v>
      </c>
      <c r="O13" s="253"/>
      <c r="P13" s="253">
        <v>9784</v>
      </c>
      <c r="Q13" s="253"/>
      <c r="R13" s="253">
        <f t="shared" si="5"/>
        <v>20159</v>
      </c>
      <c r="S13" s="253"/>
      <c r="T13" s="253">
        <v>20159</v>
      </c>
      <c r="U13" s="253">
        <v>0</v>
      </c>
      <c r="V13" s="253"/>
    </row>
    <row r="14" spans="1:22" s="266" customFormat="1" ht="30.75" customHeight="1">
      <c r="A14" s="272">
        <f t="shared" si="6"/>
        <v>4</v>
      </c>
      <c r="B14" s="273" t="s">
        <v>610</v>
      </c>
      <c r="C14" s="253">
        <f t="shared" si="2"/>
        <v>485349</v>
      </c>
      <c r="D14" s="253">
        <f t="shared" si="3"/>
        <v>464616</v>
      </c>
      <c r="E14" s="253">
        <f t="shared" si="4"/>
        <v>29396</v>
      </c>
      <c r="F14" s="253"/>
      <c r="G14" s="253"/>
      <c r="H14" s="253">
        <v>7396</v>
      </c>
      <c r="I14" s="253"/>
      <c r="J14" s="253">
        <v>22000</v>
      </c>
      <c r="K14" s="253"/>
      <c r="L14" s="253">
        <v>425928</v>
      </c>
      <c r="M14" s="253">
        <v>243768</v>
      </c>
      <c r="N14" s="253">
        <v>200</v>
      </c>
      <c r="O14" s="253"/>
      <c r="P14" s="253">
        <v>9292</v>
      </c>
      <c r="Q14" s="253"/>
      <c r="R14" s="253">
        <f t="shared" si="5"/>
        <v>20733</v>
      </c>
      <c r="S14" s="253"/>
      <c r="T14" s="253">
        <v>20733</v>
      </c>
      <c r="U14" s="253">
        <v>0</v>
      </c>
      <c r="V14" s="253"/>
    </row>
    <row r="15" spans="1:22" s="266" customFormat="1" ht="30.75" customHeight="1">
      <c r="A15" s="272">
        <f t="shared" si="6"/>
        <v>5</v>
      </c>
      <c r="B15" s="273" t="s">
        <v>609</v>
      </c>
      <c r="C15" s="253">
        <f t="shared" si="2"/>
        <v>577213</v>
      </c>
      <c r="D15" s="253">
        <f t="shared" si="3"/>
        <v>555672</v>
      </c>
      <c r="E15" s="253">
        <f t="shared" si="4"/>
        <v>8910</v>
      </c>
      <c r="F15" s="253"/>
      <c r="G15" s="253"/>
      <c r="H15" s="253">
        <v>8030</v>
      </c>
      <c r="I15" s="253"/>
      <c r="J15" s="253">
        <v>880</v>
      </c>
      <c r="K15" s="253"/>
      <c r="L15" s="253">
        <v>535649</v>
      </c>
      <c r="M15" s="253">
        <v>313991</v>
      </c>
      <c r="N15" s="253">
        <v>200</v>
      </c>
      <c r="O15" s="253"/>
      <c r="P15" s="253">
        <v>11113</v>
      </c>
      <c r="Q15" s="253"/>
      <c r="R15" s="253">
        <f t="shared" si="5"/>
        <v>21541</v>
      </c>
      <c r="S15" s="253"/>
      <c r="T15" s="253">
        <v>21541</v>
      </c>
      <c r="U15" s="253">
        <v>0</v>
      </c>
      <c r="V15" s="253"/>
    </row>
    <row r="16" spans="1:22" s="266" customFormat="1" ht="30.75" customHeight="1">
      <c r="A16" s="272">
        <f t="shared" si="6"/>
        <v>6</v>
      </c>
      <c r="B16" s="273" t="s">
        <v>608</v>
      </c>
      <c r="C16" s="253">
        <f t="shared" si="2"/>
        <v>540340</v>
      </c>
      <c r="D16" s="253">
        <f t="shared" si="3"/>
        <v>526026</v>
      </c>
      <c r="E16" s="253">
        <f t="shared" si="4"/>
        <v>20152</v>
      </c>
      <c r="F16" s="253"/>
      <c r="G16" s="253"/>
      <c r="H16" s="253">
        <v>7832</v>
      </c>
      <c r="I16" s="253"/>
      <c r="J16" s="253">
        <v>12320</v>
      </c>
      <c r="K16" s="253"/>
      <c r="L16" s="253">
        <v>495353</v>
      </c>
      <c r="M16" s="253">
        <v>305723</v>
      </c>
      <c r="N16" s="253">
        <v>200</v>
      </c>
      <c r="O16" s="253"/>
      <c r="P16" s="253">
        <v>10521</v>
      </c>
      <c r="Q16" s="253"/>
      <c r="R16" s="253">
        <f t="shared" si="5"/>
        <v>14314</v>
      </c>
      <c r="S16" s="253"/>
      <c r="T16" s="253">
        <v>14314</v>
      </c>
      <c r="U16" s="253">
        <v>0</v>
      </c>
      <c r="V16" s="253"/>
    </row>
    <row r="17" spans="1:22" s="266" customFormat="1" ht="30.75" customHeight="1">
      <c r="A17" s="272">
        <f t="shared" si="6"/>
        <v>7</v>
      </c>
      <c r="B17" s="273" t="s">
        <v>744</v>
      </c>
      <c r="C17" s="253">
        <f t="shared" si="2"/>
        <v>187313</v>
      </c>
      <c r="D17" s="253">
        <f t="shared" si="3"/>
        <v>168765</v>
      </c>
      <c r="E17" s="253">
        <f t="shared" si="4"/>
        <v>10326</v>
      </c>
      <c r="F17" s="253"/>
      <c r="G17" s="253"/>
      <c r="H17" s="253">
        <v>5926</v>
      </c>
      <c r="I17" s="253"/>
      <c r="J17" s="253">
        <v>4400</v>
      </c>
      <c r="K17" s="253"/>
      <c r="L17" s="253">
        <v>155064</v>
      </c>
      <c r="M17" s="253">
        <v>64666</v>
      </c>
      <c r="N17" s="253">
        <v>200</v>
      </c>
      <c r="O17" s="253"/>
      <c r="P17" s="253">
        <v>3375</v>
      </c>
      <c r="Q17" s="253"/>
      <c r="R17" s="253">
        <f t="shared" si="5"/>
        <v>18548</v>
      </c>
      <c r="S17" s="253"/>
      <c r="T17" s="253">
        <v>18548</v>
      </c>
      <c r="U17" s="253">
        <v>0</v>
      </c>
      <c r="V17" s="253"/>
    </row>
    <row r="18" spans="1:22" s="266" customFormat="1" ht="30.75" customHeight="1">
      <c r="A18" s="272">
        <f>A17+1</f>
        <v>8</v>
      </c>
      <c r="B18" s="273" t="s">
        <v>606</v>
      </c>
      <c r="C18" s="253">
        <f t="shared" si="2"/>
        <v>358057</v>
      </c>
      <c r="D18" s="253">
        <f t="shared" si="3"/>
        <v>351009</v>
      </c>
      <c r="E18" s="253">
        <f t="shared" si="4"/>
        <v>6940</v>
      </c>
      <c r="F18" s="253"/>
      <c r="G18" s="253"/>
      <c r="H18" s="253">
        <v>6588</v>
      </c>
      <c r="I18" s="253"/>
      <c r="J18" s="253">
        <v>352</v>
      </c>
      <c r="K18" s="253"/>
      <c r="L18" s="253">
        <v>337049</v>
      </c>
      <c r="M18" s="253">
        <v>200119</v>
      </c>
      <c r="N18" s="253">
        <v>200</v>
      </c>
      <c r="O18" s="253"/>
      <c r="P18" s="253">
        <v>7020</v>
      </c>
      <c r="Q18" s="253"/>
      <c r="R18" s="253">
        <f t="shared" si="5"/>
        <v>7048</v>
      </c>
      <c r="S18" s="253"/>
      <c r="T18" s="253">
        <v>7048</v>
      </c>
      <c r="U18" s="253">
        <v>0</v>
      </c>
      <c r="V18" s="253"/>
    </row>
    <row r="19" spans="1:22" s="266" customFormat="1" ht="30.75" customHeight="1">
      <c r="A19" s="272">
        <f t="shared" si="6"/>
        <v>9</v>
      </c>
      <c r="B19" s="273" t="s">
        <v>682</v>
      </c>
      <c r="C19" s="253">
        <f t="shared" si="2"/>
        <v>517115</v>
      </c>
      <c r="D19" s="253">
        <f t="shared" si="3"/>
        <v>503638</v>
      </c>
      <c r="E19" s="253">
        <f t="shared" si="4"/>
        <v>113223</v>
      </c>
      <c r="F19" s="253"/>
      <c r="G19" s="253"/>
      <c r="H19" s="253">
        <v>7623</v>
      </c>
      <c r="I19" s="253"/>
      <c r="J19" s="253">
        <v>105600</v>
      </c>
      <c r="K19" s="253"/>
      <c r="L19" s="253">
        <v>380342</v>
      </c>
      <c r="M19" s="253">
        <v>208362</v>
      </c>
      <c r="N19" s="253">
        <v>200</v>
      </c>
      <c r="O19" s="253"/>
      <c r="P19" s="253">
        <v>10073</v>
      </c>
      <c r="Q19" s="253"/>
      <c r="R19" s="253">
        <f t="shared" si="5"/>
        <v>13477</v>
      </c>
      <c r="S19" s="253"/>
      <c r="T19" s="253">
        <v>13477</v>
      </c>
      <c r="U19" s="253">
        <v>0</v>
      </c>
      <c r="V19" s="253"/>
    </row>
    <row r="20" spans="1:22" s="266" customFormat="1" ht="30.75" customHeight="1">
      <c r="A20" s="272">
        <f t="shared" si="6"/>
        <v>10</v>
      </c>
      <c r="B20" s="273" t="s">
        <v>604</v>
      </c>
      <c r="C20" s="253">
        <f t="shared" si="2"/>
        <v>453543</v>
      </c>
      <c r="D20" s="253">
        <f t="shared" si="3"/>
        <v>434408</v>
      </c>
      <c r="E20" s="253">
        <f t="shared" si="4"/>
        <v>7678.0000000000009</v>
      </c>
      <c r="F20" s="253"/>
      <c r="G20" s="253"/>
      <c r="H20" s="253">
        <v>7590.0000000000009</v>
      </c>
      <c r="I20" s="253"/>
      <c r="J20" s="253">
        <v>88</v>
      </c>
      <c r="K20" s="253"/>
      <c r="L20" s="253">
        <v>418041</v>
      </c>
      <c r="M20" s="253">
        <v>251185</v>
      </c>
      <c r="N20" s="253">
        <v>200</v>
      </c>
      <c r="O20" s="253"/>
      <c r="P20" s="253">
        <v>8689</v>
      </c>
      <c r="Q20" s="253"/>
      <c r="R20" s="253">
        <f t="shared" si="5"/>
        <v>19135</v>
      </c>
      <c r="S20" s="253"/>
      <c r="T20" s="253">
        <v>19135</v>
      </c>
      <c r="U20" s="253">
        <v>0</v>
      </c>
      <c r="V20" s="253"/>
    </row>
    <row r="21" spans="1:22" ht="15.95" customHeight="1">
      <c r="A21" s="277"/>
      <c r="B21" s="277"/>
      <c r="C21" s="277"/>
      <c r="D21" s="277"/>
      <c r="E21" s="277"/>
      <c r="F21" s="277"/>
      <c r="G21" s="277"/>
      <c r="H21" s="277"/>
      <c r="I21" s="277"/>
      <c r="J21" s="277"/>
      <c r="K21" s="277"/>
      <c r="L21" s="277"/>
      <c r="M21" s="277"/>
      <c r="N21" s="277"/>
      <c r="O21" s="277"/>
      <c r="P21" s="277"/>
      <c r="Q21" s="277"/>
      <c r="R21" s="277"/>
      <c r="S21" s="277"/>
      <c r="T21" s="277"/>
      <c r="U21" s="277"/>
      <c r="V21" s="277"/>
    </row>
    <row r="22" spans="1:22" ht="24.75" customHeight="1">
      <c r="A22" s="286" t="s">
        <v>762</v>
      </c>
      <c r="B22" s="286"/>
      <c r="C22" s="266"/>
      <c r="D22" s="266"/>
      <c r="E22" s="266"/>
      <c r="F22" s="266"/>
      <c r="G22" s="266"/>
      <c r="H22" s="266"/>
      <c r="I22" s="266"/>
      <c r="J22" s="266"/>
      <c r="K22" s="266"/>
      <c r="L22" s="266"/>
      <c r="M22" s="266"/>
      <c r="N22" s="266"/>
      <c r="O22" s="266"/>
      <c r="P22" s="266"/>
      <c r="Q22" s="266"/>
      <c r="R22" s="266"/>
      <c r="S22" s="266"/>
      <c r="T22" s="266"/>
      <c r="U22" s="266"/>
      <c r="V22" s="266"/>
    </row>
    <row r="23" spans="1:22" ht="20.25" customHeight="1">
      <c r="A23" s="286"/>
      <c r="B23" s="287" t="s">
        <v>763</v>
      </c>
      <c r="C23" s="266"/>
      <c r="D23" s="266"/>
      <c r="E23" s="266"/>
      <c r="F23" s="266"/>
      <c r="G23" s="266"/>
      <c r="H23" s="266"/>
      <c r="I23" s="266"/>
      <c r="J23" s="266"/>
      <c r="K23" s="266"/>
      <c r="L23" s="266"/>
      <c r="M23" s="266"/>
      <c r="N23" s="266"/>
      <c r="O23" s="266"/>
      <c r="P23" s="266"/>
      <c r="Q23" s="266"/>
      <c r="R23" s="266"/>
      <c r="S23" s="266"/>
      <c r="T23" s="266"/>
      <c r="U23" s="266"/>
      <c r="V23" s="266"/>
    </row>
    <row r="24" spans="1:22" ht="18.75">
      <c r="A24" s="266"/>
      <c r="B24" s="266"/>
      <c r="C24" s="266"/>
      <c r="D24" s="266"/>
      <c r="E24" s="266"/>
      <c r="F24" s="266"/>
      <c r="G24" s="266"/>
      <c r="H24" s="266"/>
      <c r="I24" s="266"/>
      <c r="J24" s="266"/>
      <c r="K24" s="266"/>
      <c r="L24" s="266"/>
      <c r="M24" s="266"/>
      <c r="N24" s="266"/>
      <c r="O24" s="266"/>
      <c r="P24" s="266"/>
      <c r="Q24" s="266"/>
      <c r="R24" s="266"/>
      <c r="S24" s="266"/>
      <c r="T24" s="266"/>
      <c r="U24" s="266"/>
      <c r="V24" s="266"/>
    </row>
    <row r="25" spans="1:22" ht="18.75">
      <c r="A25" s="266"/>
      <c r="B25" s="266"/>
      <c r="C25" s="266"/>
      <c r="D25" s="266"/>
      <c r="E25" s="266"/>
      <c r="F25" s="266"/>
      <c r="G25" s="266"/>
      <c r="H25" s="266"/>
      <c r="I25" s="266"/>
      <c r="J25" s="266"/>
      <c r="K25" s="266"/>
      <c r="L25" s="266"/>
      <c r="M25" s="266"/>
      <c r="N25" s="266"/>
      <c r="O25" s="266"/>
      <c r="P25" s="266"/>
      <c r="Q25" s="266"/>
      <c r="R25" s="266"/>
      <c r="S25" s="266"/>
      <c r="T25" s="266"/>
      <c r="U25" s="266"/>
      <c r="V25" s="266"/>
    </row>
    <row r="26" spans="1:22" ht="18.75">
      <c r="A26" s="266"/>
      <c r="B26" s="266"/>
      <c r="C26" s="266"/>
      <c r="D26" s="266"/>
      <c r="E26" s="266"/>
      <c r="F26" s="266"/>
      <c r="G26" s="266"/>
      <c r="H26" s="266"/>
      <c r="I26" s="266"/>
      <c r="J26" s="266"/>
      <c r="K26" s="266"/>
      <c r="L26" s="266"/>
      <c r="M26" s="266"/>
      <c r="N26" s="266"/>
      <c r="O26" s="266"/>
      <c r="P26" s="266"/>
      <c r="Q26" s="266"/>
      <c r="R26" s="266"/>
      <c r="S26" s="266"/>
      <c r="T26" s="266"/>
      <c r="U26" s="266"/>
      <c r="V26" s="266"/>
    </row>
    <row r="27" spans="1:22" ht="18.75">
      <c r="A27" s="266"/>
      <c r="B27" s="266"/>
      <c r="C27" s="266"/>
      <c r="D27" s="266"/>
      <c r="E27" s="266"/>
      <c r="F27" s="266"/>
      <c r="G27" s="266"/>
      <c r="H27" s="266"/>
      <c r="I27" s="266"/>
      <c r="J27" s="266"/>
      <c r="K27" s="266"/>
      <c r="L27" s="266"/>
      <c r="M27" s="266"/>
      <c r="N27" s="266"/>
      <c r="O27" s="266"/>
      <c r="P27" s="266"/>
      <c r="Q27" s="266"/>
      <c r="R27" s="266"/>
      <c r="S27" s="266"/>
      <c r="T27" s="266"/>
      <c r="U27" s="266"/>
      <c r="V27" s="266"/>
    </row>
    <row r="28" spans="1:22" ht="18.75">
      <c r="A28" s="266"/>
      <c r="B28" s="266"/>
      <c r="C28" s="266"/>
      <c r="D28" s="266"/>
      <c r="E28" s="266"/>
      <c r="F28" s="266"/>
      <c r="G28" s="266"/>
      <c r="H28" s="266"/>
      <c r="I28" s="266"/>
      <c r="J28" s="266"/>
      <c r="K28" s="266"/>
      <c r="L28" s="266"/>
      <c r="M28" s="266"/>
      <c r="N28" s="266"/>
      <c r="O28" s="266"/>
      <c r="P28" s="266"/>
      <c r="Q28" s="266"/>
      <c r="R28" s="266"/>
      <c r="S28" s="266"/>
      <c r="T28" s="266"/>
      <c r="U28" s="266"/>
      <c r="V28" s="266"/>
    </row>
    <row r="29" spans="1:22" ht="18.75">
      <c r="A29" s="266"/>
      <c r="B29" s="266"/>
      <c r="C29" s="266"/>
      <c r="D29" s="266"/>
      <c r="E29" s="266"/>
      <c r="F29" s="266"/>
      <c r="G29" s="266"/>
      <c r="H29" s="266"/>
      <c r="I29" s="266"/>
      <c r="J29" s="266"/>
      <c r="K29" s="266"/>
      <c r="L29" s="266"/>
      <c r="M29" s="266"/>
      <c r="N29" s="266"/>
      <c r="O29" s="266"/>
      <c r="P29" s="266"/>
      <c r="Q29" s="266"/>
      <c r="R29" s="266"/>
      <c r="S29" s="266"/>
      <c r="T29" s="266"/>
      <c r="U29" s="266"/>
      <c r="V29" s="266"/>
    </row>
    <row r="30" spans="1:22" ht="18.75">
      <c r="A30" s="266"/>
      <c r="B30" s="266"/>
      <c r="C30" s="266"/>
      <c r="D30" s="266"/>
      <c r="E30" s="266"/>
      <c r="F30" s="266"/>
      <c r="G30" s="266"/>
      <c r="H30" s="266"/>
      <c r="I30" s="266"/>
      <c r="J30" s="266"/>
      <c r="K30" s="266"/>
      <c r="L30" s="266"/>
      <c r="M30" s="266"/>
      <c r="N30" s="266"/>
      <c r="O30" s="266"/>
      <c r="P30" s="266"/>
      <c r="Q30" s="266"/>
      <c r="R30" s="266"/>
      <c r="S30" s="266"/>
      <c r="T30" s="266"/>
      <c r="U30" s="266"/>
      <c r="V30" s="266"/>
    </row>
    <row r="31" spans="1:22" ht="18.75">
      <c r="A31" s="266"/>
      <c r="B31" s="266"/>
      <c r="C31" s="266"/>
      <c r="D31" s="266"/>
      <c r="E31" s="266"/>
      <c r="F31" s="266"/>
      <c r="G31" s="266"/>
      <c r="H31" s="266"/>
      <c r="I31" s="266"/>
      <c r="J31" s="266"/>
      <c r="K31" s="266"/>
      <c r="L31" s="266"/>
      <c r="M31" s="266"/>
      <c r="N31" s="266"/>
      <c r="O31" s="266"/>
      <c r="P31" s="266"/>
      <c r="Q31" s="266"/>
      <c r="R31" s="266"/>
      <c r="S31" s="266"/>
      <c r="T31" s="266"/>
      <c r="U31" s="266"/>
      <c r="V31" s="266"/>
    </row>
    <row r="32" spans="1:22" ht="18.75">
      <c r="A32" s="266"/>
      <c r="B32" s="266"/>
      <c r="C32" s="266"/>
      <c r="D32" s="266"/>
      <c r="E32" s="266"/>
      <c r="F32" s="266"/>
      <c r="G32" s="266"/>
      <c r="H32" s="266"/>
      <c r="I32" s="266"/>
      <c r="J32" s="266"/>
      <c r="K32" s="266"/>
      <c r="L32" s="266"/>
      <c r="M32" s="266"/>
      <c r="N32" s="266"/>
      <c r="O32" s="266"/>
      <c r="P32" s="266"/>
      <c r="Q32" s="266"/>
      <c r="R32" s="266"/>
      <c r="S32" s="266"/>
      <c r="T32" s="266"/>
      <c r="U32" s="266"/>
      <c r="V32" s="266"/>
    </row>
    <row r="33" spans="1:22" ht="18.75">
      <c r="A33" s="266"/>
      <c r="B33" s="266"/>
      <c r="C33" s="266"/>
      <c r="D33" s="266"/>
      <c r="E33" s="266"/>
      <c r="F33" s="266"/>
      <c r="G33" s="266"/>
      <c r="H33" s="266"/>
      <c r="I33" s="266"/>
      <c r="J33" s="266"/>
      <c r="K33" s="266"/>
      <c r="L33" s="266"/>
      <c r="M33" s="266"/>
      <c r="N33" s="266"/>
      <c r="O33" s="266"/>
      <c r="P33" s="266"/>
      <c r="Q33" s="266"/>
      <c r="R33" s="266"/>
      <c r="S33" s="266"/>
      <c r="T33" s="266"/>
      <c r="U33" s="266"/>
      <c r="V33" s="266"/>
    </row>
    <row r="34" spans="1:22" ht="22.5" customHeight="1">
      <c r="A34" s="266"/>
      <c r="B34" s="266"/>
      <c r="C34" s="266"/>
      <c r="D34" s="266"/>
      <c r="E34" s="266"/>
      <c r="F34" s="266"/>
      <c r="G34" s="266"/>
      <c r="H34" s="266"/>
      <c r="I34" s="266"/>
      <c r="J34" s="266"/>
      <c r="K34" s="266"/>
      <c r="L34" s="266"/>
      <c r="M34" s="266"/>
      <c r="N34" s="266"/>
      <c r="O34" s="266"/>
      <c r="P34" s="266"/>
      <c r="Q34" s="266"/>
      <c r="R34" s="266"/>
      <c r="S34" s="266"/>
      <c r="T34" s="266"/>
      <c r="U34" s="266"/>
      <c r="V34" s="266"/>
    </row>
    <row r="35" spans="1:22" ht="18.75">
      <c r="A35" s="266"/>
      <c r="B35" s="266"/>
      <c r="C35" s="266"/>
      <c r="D35" s="266"/>
      <c r="E35" s="266"/>
      <c r="F35" s="266"/>
      <c r="G35" s="266"/>
      <c r="H35" s="266"/>
      <c r="I35" s="266"/>
      <c r="J35" s="266"/>
      <c r="K35" s="266"/>
      <c r="L35" s="266"/>
      <c r="M35" s="266"/>
      <c r="N35" s="266"/>
      <c r="O35" s="266"/>
      <c r="P35" s="266"/>
      <c r="Q35" s="266"/>
      <c r="R35" s="266"/>
      <c r="S35" s="266"/>
      <c r="T35" s="266"/>
      <c r="U35" s="266"/>
      <c r="V35" s="266"/>
    </row>
    <row r="36" spans="1:22" ht="18.75">
      <c r="A36" s="266"/>
      <c r="B36" s="266"/>
      <c r="C36" s="266"/>
      <c r="D36" s="266"/>
      <c r="E36" s="266"/>
      <c r="F36" s="266"/>
      <c r="G36" s="266"/>
      <c r="H36" s="266"/>
      <c r="I36" s="266"/>
      <c r="J36" s="266"/>
      <c r="K36" s="266"/>
      <c r="L36" s="266"/>
      <c r="M36" s="266"/>
      <c r="N36" s="266"/>
      <c r="O36" s="266"/>
      <c r="P36" s="266"/>
      <c r="Q36" s="266"/>
      <c r="R36" s="266"/>
      <c r="S36" s="266"/>
      <c r="T36" s="266"/>
      <c r="U36" s="266"/>
      <c r="V36" s="266"/>
    </row>
    <row r="37" spans="1:22" ht="18.75">
      <c r="A37" s="266"/>
      <c r="B37" s="266"/>
      <c r="C37" s="266"/>
      <c r="D37" s="266"/>
      <c r="E37" s="266"/>
      <c r="F37" s="266"/>
      <c r="G37" s="266"/>
      <c r="H37" s="266"/>
      <c r="I37" s="266"/>
      <c r="J37" s="266"/>
      <c r="K37" s="266"/>
      <c r="L37" s="266"/>
      <c r="M37" s="266"/>
      <c r="N37" s="266"/>
      <c r="O37" s="266"/>
      <c r="P37" s="266"/>
      <c r="Q37" s="266"/>
      <c r="R37" s="266"/>
      <c r="S37" s="266"/>
      <c r="T37" s="266"/>
      <c r="U37" s="266"/>
      <c r="V37" s="266"/>
    </row>
    <row r="38" spans="1:22" ht="18.75">
      <c r="A38" s="266"/>
      <c r="B38" s="266"/>
      <c r="C38" s="266"/>
      <c r="D38" s="266"/>
      <c r="E38" s="266"/>
      <c r="F38" s="266"/>
      <c r="G38" s="266"/>
      <c r="H38" s="266"/>
      <c r="I38" s="266"/>
      <c r="J38" s="266"/>
      <c r="K38" s="266"/>
      <c r="L38" s="266"/>
      <c r="M38" s="266"/>
      <c r="N38" s="266"/>
      <c r="O38" s="266"/>
      <c r="P38" s="266"/>
      <c r="Q38" s="266"/>
      <c r="R38" s="266"/>
      <c r="S38" s="266"/>
      <c r="T38" s="266"/>
      <c r="U38" s="266"/>
      <c r="V38" s="266"/>
    </row>
  </sheetData>
  <mergeCells count="29">
    <mergeCell ref="A5:A8"/>
    <mergeCell ref="B5:B8"/>
    <mergeCell ref="C5:C8"/>
    <mergeCell ref="D5:Q5"/>
    <mergeCell ref="R5:U5"/>
    <mergeCell ref="K7:K8"/>
    <mergeCell ref="L7:L8"/>
    <mergeCell ref="M7:N7"/>
    <mergeCell ref="A2:V2"/>
    <mergeCell ref="A3:V3"/>
    <mergeCell ref="G4:I4"/>
    <mergeCell ref="L4:N4"/>
    <mergeCell ref="Q4:V4"/>
    <mergeCell ref="V5:V8"/>
    <mergeCell ref="D6:D8"/>
    <mergeCell ref="E6:K6"/>
    <mergeCell ref="L6:N6"/>
    <mergeCell ref="O6:O8"/>
    <mergeCell ref="P6:P8"/>
    <mergeCell ref="Q6:Q8"/>
    <mergeCell ref="R6:R8"/>
    <mergeCell ref="S6:S8"/>
    <mergeCell ref="T6:T8"/>
    <mergeCell ref="U6:U8"/>
    <mergeCell ref="E7:E8"/>
    <mergeCell ref="F7:G7"/>
    <mergeCell ref="H7:H8"/>
    <mergeCell ref="I7:I8"/>
    <mergeCell ref="J7:J8"/>
  </mergeCells>
  <printOptions horizontalCentered="1"/>
  <pageMargins left="0.31" right="0.23" top="0.49" bottom="0.36" header="0.2" footer="0.17"/>
  <pageSetup paperSize="9" scale="51" fitToHeight="5" orientation="landscape" r:id="rId1"/>
  <headerFooter alignWithMargins="0">
    <oddFooter>&amp;C&amp;".VnTime,  Italic"&amp;8
&amp;".VnTimeH,Regular"&amp;12&amp;P/&amp;N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35"/>
  <sheetViews>
    <sheetView zoomScale="82" zoomScaleNormal="82" workbookViewId="0">
      <selection activeCell="I3" sqref="I3"/>
    </sheetView>
  </sheetViews>
  <sheetFormatPr defaultRowHeight="15.75" outlineLevelCol="1"/>
  <cols>
    <col min="1" max="1" width="5.85546875" style="349" customWidth="1"/>
    <col min="2" max="2" width="34.42578125" style="349" customWidth="1"/>
    <col min="3" max="3" width="24.85546875" style="349" customWidth="1"/>
    <col min="4" max="4" width="24.28515625" style="349" customWidth="1"/>
    <col min="5" max="5" width="23.85546875" style="349" customWidth="1"/>
    <col min="6" max="6" width="19.5703125" style="349" hidden="1" customWidth="1" outlineLevel="1"/>
    <col min="7" max="7" width="18.85546875" style="349" hidden="1" customWidth="1" outlineLevel="1"/>
    <col min="8" max="8" width="23.85546875" style="349" customWidth="1" collapsed="1"/>
    <col min="9" max="256" width="9.140625" style="349"/>
    <col min="257" max="257" width="5.85546875" style="349" customWidth="1"/>
    <col min="258" max="258" width="34.42578125" style="349" customWidth="1"/>
    <col min="259" max="261" width="23.85546875" style="349" customWidth="1"/>
    <col min="262" max="263" width="0" style="349" hidden="1" customWidth="1"/>
    <col min="264" max="264" width="23.85546875" style="349" customWidth="1"/>
    <col min="265" max="512" width="9.140625" style="349"/>
    <col min="513" max="513" width="5.85546875" style="349" customWidth="1"/>
    <col min="514" max="514" width="34.42578125" style="349" customWidth="1"/>
    <col min="515" max="517" width="23.85546875" style="349" customWidth="1"/>
    <col min="518" max="519" width="0" style="349" hidden="1" customWidth="1"/>
    <col min="520" max="520" width="23.85546875" style="349" customWidth="1"/>
    <col min="521" max="768" width="9.140625" style="349"/>
    <col min="769" max="769" width="5.85546875" style="349" customWidth="1"/>
    <col min="770" max="770" width="34.42578125" style="349" customWidth="1"/>
    <col min="771" max="773" width="23.85546875" style="349" customWidth="1"/>
    <col min="774" max="775" width="0" style="349" hidden="1" customWidth="1"/>
    <col min="776" max="776" width="23.85546875" style="349" customWidth="1"/>
    <col min="777" max="1024" width="9.140625" style="349"/>
    <col min="1025" max="1025" width="5.85546875" style="349" customWidth="1"/>
    <col min="1026" max="1026" width="34.42578125" style="349" customWidth="1"/>
    <col min="1027" max="1029" width="23.85546875" style="349" customWidth="1"/>
    <col min="1030" max="1031" width="0" style="349" hidden="1" customWidth="1"/>
    <col min="1032" max="1032" width="23.85546875" style="349" customWidth="1"/>
    <col min="1033" max="1280" width="9.140625" style="349"/>
    <col min="1281" max="1281" width="5.85546875" style="349" customWidth="1"/>
    <col min="1282" max="1282" width="34.42578125" style="349" customWidth="1"/>
    <col min="1283" max="1285" width="23.85546875" style="349" customWidth="1"/>
    <col min="1286" max="1287" width="0" style="349" hidden="1" customWidth="1"/>
    <col min="1288" max="1288" width="23.85546875" style="349" customWidth="1"/>
    <col min="1289" max="1536" width="9.140625" style="349"/>
    <col min="1537" max="1537" width="5.85546875" style="349" customWidth="1"/>
    <col min="1538" max="1538" width="34.42578125" style="349" customWidth="1"/>
    <col min="1539" max="1541" width="23.85546875" style="349" customWidth="1"/>
    <col min="1542" max="1543" width="0" style="349" hidden="1" customWidth="1"/>
    <col min="1544" max="1544" width="23.85546875" style="349" customWidth="1"/>
    <col min="1545" max="1792" width="9.140625" style="349"/>
    <col min="1793" max="1793" width="5.85546875" style="349" customWidth="1"/>
    <col min="1794" max="1794" width="34.42578125" style="349" customWidth="1"/>
    <col min="1795" max="1797" width="23.85546875" style="349" customWidth="1"/>
    <col min="1798" max="1799" width="0" style="349" hidden="1" customWidth="1"/>
    <col min="1800" max="1800" width="23.85546875" style="349" customWidth="1"/>
    <col min="1801" max="2048" width="9.140625" style="349"/>
    <col min="2049" max="2049" width="5.85546875" style="349" customWidth="1"/>
    <col min="2050" max="2050" width="34.42578125" style="349" customWidth="1"/>
    <col min="2051" max="2053" width="23.85546875" style="349" customWidth="1"/>
    <col min="2054" max="2055" width="0" style="349" hidden="1" customWidth="1"/>
    <col min="2056" max="2056" width="23.85546875" style="349" customWidth="1"/>
    <col min="2057" max="2304" width="9.140625" style="349"/>
    <col min="2305" max="2305" width="5.85546875" style="349" customWidth="1"/>
    <col min="2306" max="2306" width="34.42578125" style="349" customWidth="1"/>
    <col min="2307" max="2309" width="23.85546875" style="349" customWidth="1"/>
    <col min="2310" max="2311" width="0" style="349" hidden="1" customWidth="1"/>
    <col min="2312" max="2312" width="23.85546875" style="349" customWidth="1"/>
    <col min="2313" max="2560" width="9.140625" style="349"/>
    <col min="2561" max="2561" width="5.85546875" style="349" customWidth="1"/>
    <col min="2562" max="2562" width="34.42578125" style="349" customWidth="1"/>
    <col min="2563" max="2565" width="23.85546875" style="349" customWidth="1"/>
    <col min="2566" max="2567" width="0" style="349" hidden="1" customWidth="1"/>
    <col min="2568" max="2568" width="23.85546875" style="349" customWidth="1"/>
    <col min="2569" max="2816" width="9.140625" style="349"/>
    <col min="2817" max="2817" width="5.85546875" style="349" customWidth="1"/>
    <col min="2818" max="2818" width="34.42578125" style="349" customWidth="1"/>
    <col min="2819" max="2821" width="23.85546875" style="349" customWidth="1"/>
    <col min="2822" max="2823" width="0" style="349" hidden="1" customWidth="1"/>
    <col min="2824" max="2824" width="23.85546875" style="349" customWidth="1"/>
    <col min="2825" max="3072" width="9.140625" style="349"/>
    <col min="3073" max="3073" width="5.85546875" style="349" customWidth="1"/>
    <col min="3074" max="3074" width="34.42578125" style="349" customWidth="1"/>
    <col min="3075" max="3077" width="23.85546875" style="349" customWidth="1"/>
    <col min="3078" max="3079" width="0" style="349" hidden="1" customWidth="1"/>
    <col min="3080" max="3080" width="23.85546875" style="349" customWidth="1"/>
    <col min="3081" max="3328" width="9.140625" style="349"/>
    <col min="3329" max="3329" width="5.85546875" style="349" customWidth="1"/>
    <col min="3330" max="3330" width="34.42578125" style="349" customWidth="1"/>
    <col min="3331" max="3333" width="23.85546875" style="349" customWidth="1"/>
    <col min="3334" max="3335" width="0" style="349" hidden="1" customWidth="1"/>
    <col min="3336" max="3336" width="23.85546875" style="349" customWidth="1"/>
    <col min="3337" max="3584" width="9.140625" style="349"/>
    <col min="3585" max="3585" width="5.85546875" style="349" customWidth="1"/>
    <col min="3586" max="3586" width="34.42578125" style="349" customWidth="1"/>
    <col min="3587" max="3589" width="23.85546875" style="349" customWidth="1"/>
    <col min="3590" max="3591" width="0" style="349" hidden="1" customWidth="1"/>
    <col min="3592" max="3592" width="23.85546875" style="349" customWidth="1"/>
    <col min="3593" max="3840" width="9.140625" style="349"/>
    <col min="3841" max="3841" width="5.85546875" style="349" customWidth="1"/>
    <col min="3842" max="3842" width="34.42578125" style="349" customWidth="1"/>
    <col min="3843" max="3845" width="23.85546875" style="349" customWidth="1"/>
    <col min="3846" max="3847" width="0" style="349" hidden="1" customWidth="1"/>
    <col min="3848" max="3848" width="23.85546875" style="349" customWidth="1"/>
    <col min="3849" max="4096" width="9.140625" style="349"/>
    <col min="4097" max="4097" width="5.85546875" style="349" customWidth="1"/>
    <col min="4098" max="4098" width="34.42578125" style="349" customWidth="1"/>
    <col min="4099" max="4101" width="23.85546875" style="349" customWidth="1"/>
    <col min="4102" max="4103" width="0" style="349" hidden="1" customWidth="1"/>
    <col min="4104" max="4104" width="23.85546875" style="349" customWidth="1"/>
    <col min="4105" max="4352" width="9.140625" style="349"/>
    <col min="4353" max="4353" width="5.85546875" style="349" customWidth="1"/>
    <col min="4354" max="4354" width="34.42578125" style="349" customWidth="1"/>
    <col min="4355" max="4357" width="23.85546875" style="349" customWidth="1"/>
    <col min="4358" max="4359" width="0" style="349" hidden="1" customWidth="1"/>
    <col min="4360" max="4360" width="23.85546875" style="349" customWidth="1"/>
    <col min="4361" max="4608" width="9.140625" style="349"/>
    <col min="4609" max="4609" width="5.85546875" style="349" customWidth="1"/>
    <col min="4610" max="4610" width="34.42578125" style="349" customWidth="1"/>
    <col min="4611" max="4613" width="23.85546875" style="349" customWidth="1"/>
    <col min="4614" max="4615" width="0" style="349" hidden="1" customWidth="1"/>
    <col min="4616" max="4616" width="23.85546875" style="349" customWidth="1"/>
    <col min="4617" max="4864" width="9.140625" style="349"/>
    <col min="4865" max="4865" width="5.85546875" style="349" customWidth="1"/>
    <col min="4866" max="4866" width="34.42578125" style="349" customWidth="1"/>
    <col min="4867" max="4869" width="23.85546875" style="349" customWidth="1"/>
    <col min="4870" max="4871" width="0" style="349" hidden="1" customWidth="1"/>
    <col min="4872" max="4872" width="23.85546875" style="349" customWidth="1"/>
    <col min="4873" max="5120" width="9.140625" style="349"/>
    <col min="5121" max="5121" width="5.85546875" style="349" customWidth="1"/>
    <col min="5122" max="5122" width="34.42578125" style="349" customWidth="1"/>
    <col min="5123" max="5125" width="23.85546875" style="349" customWidth="1"/>
    <col min="5126" max="5127" width="0" style="349" hidden="1" customWidth="1"/>
    <col min="5128" max="5128" width="23.85546875" style="349" customWidth="1"/>
    <col min="5129" max="5376" width="9.140625" style="349"/>
    <col min="5377" max="5377" width="5.85546875" style="349" customWidth="1"/>
    <col min="5378" max="5378" width="34.42578125" style="349" customWidth="1"/>
    <col min="5379" max="5381" width="23.85546875" style="349" customWidth="1"/>
    <col min="5382" max="5383" width="0" style="349" hidden="1" customWidth="1"/>
    <col min="5384" max="5384" width="23.85546875" style="349" customWidth="1"/>
    <col min="5385" max="5632" width="9.140625" style="349"/>
    <col min="5633" max="5633" width="5.85546875" style="349" customWidth="1"/>
    <col min="5634" max="5634" width="34.42578125" style="349" customWidth="1"/>
    <col min="5635" max="5637" width="23.85546875" style="349" customWidth="1"/>
    <col min="5638" max="5639" width="0" style="349" hidden="1" customWidth="1"/>
    <col min="5640" max="5640" width="23.85546875" style="349" customWidth="1"/>
    <col min="5641" max="5888" width="9.140625" style="349"/>
    <col min="5889" max="5889" width="5.85546875" style="349" customWidth="1"/>
    <col min="5890" max="5890" width="34.42578125" style="349" customWidth="1"/>
    <col min="5891" max="5893" width="23.85546875" style="349" customWidth="1"/>
    <col min="5894" max="5895" width="0" style="349" hidden="1" customWidth="1"/>
    <col min="5896" max="5896" width="23.85546875" style="349" customWidth="1"/>
    <col min="5897" max="6144" width="9.140625" style="349"/>
    <col min="6145" max="6145" width="5.85546875" style="349" customWidth="1"/>
    <col min="6146" max="6146" width="34.42578125" style="349" customWidth="1"/>
    <col min="6147" max="6149" width="23.85546875" style="349" customWidth="1"/>
    <col min="6150" max="6151" width="0" style="349" hidden="1" customWidth="1"/>
    <col min="6152" max="6152" width="23.85546875" style="349" customWidth="1"/>
    <col min="6153" max="6400" width="9.140625" style="349"/>
    <col min="6401" max="6401" width="5.85546875" style="349" customWidth="1"/>
    <col min="6402" max="6402" width="34.42578125" style="349" customWidth="1"/>
    <col min="6403" max="6405" width="23.85546875" style="349" customWidth="1"/>
    <col min="6406" max="6407" width="0" style="349" hidden="1" customWidth="1"/>
    <col min="6408" max="6408" width="23.85546875" style="349" customWidth="1"/>
    <col min="6409" max="6656" width="9.140625" style="349"/>
    <col min="6657" max="6657" width="5.85546875" style="349" customWidth="1"/>
    <col min="6658" max="6658" width="34.42578125" style="349" customWidth="1"/>
    <col min="6659" max="6661" width="23.85546875" style="349" customWidth="1"/>
    <col min="6662" max="6663" width="0" style="349" hidden="1" customWidth="1"/>
    <col min="6664" max="6664" width="23.85546875" style="349" customWidth="1"/>
    <col min="6665" max="6912" width="9.140625" style="349"/>
    <col min="6913" max="6913" width="5.85546875" style="349" customWidth="1"/>
    <col min="6914" max="6914" width="34.42578125" style="349" customWidth="1"/>
    <col min="6915" max="6917" width="23.85546875" style="349" customWidth="1"/>
    <col min="6918" max="6919" width="0" style="349" hidden="1" customWidth="1"/>
    <col min="6920" max="6920" width="23.85546875" style="349" customWidth="1"/>
    <col min="6921" max="7168" width="9.140625" style="349"/>
    <col min="7169" max="7169" width="5.85546875" style="349" customWidth="1"/>
    <col min="7170" max="7170" width="34.42578125" style="349" customWidth="1"/>
    <col min="7171" max="7173" width="23.85546875" style="349" customWidth="1"/>
    <col min="7174" max="7175" width="0" style="349" hidden="1" customWidth="1"/>
    <col min="7176" max="7176" width="23.85546875" style="349" customWidth="1"/>
    <col min="7177" max="7424" width="9.140625" style="349"/>
    <col min="7425" max="7425" width="5.85546875" style="349" customWidth="1"/>
    <col min="7426" max="7426" width="34.42578125" style="349" customWidth="1"/>
    <col min="7427" max="7429" width="23.85546875" style="349" customWidth="1"/>
    <col min="7430" max="7431" width="0" style="349" hidden="1" customWidth="1"/>
    <col min="7432" max="7432" width="23.85546875" style="349" customWidth="1"/>
    <col min="7433" max="7680" width="9.140625" style="349"/>
    <col min="7681" max="7681" width="5.85546875" style="349" customWidth="1"/>
    <col min="7682" max="7682" width="34.42578125" style="349" customWidth="1"/>
    <col min="7683" max="7685" width="23.85546875" style="349" customWidth="1"/>
    <col min="7686" max="7687" width="0" style="349" hidden="1" customWidth="1"/>
    <col min="7688" max="7688" width="23.85546875" style="349" customWidth="1"/>
    <col min="7689" max="7936" width="9.140625" style="349"/>
    <col min="7937" max="7937" width="5.85546875" style="349" customWidth="1"/>
    <col min="7938" max="7938" width="34.42578125" style="349" customWidth="1"/>
    <col min="7939" max="7941" width="23.85546875" style="349" customWidth="1"/>
    <col min="7942" max="7943" width="0" style="349" hidden="1" customWidth="1"/>
    <col min="7944" max="7944" width="23.85546875" style="349" customWidth="1"/>
    <col min="7945" max="8192" width="9.140625" style="349"/>
    <col min="8193" max="8193" width="5.85546875" style="349" customWidth="1"/>
    <col min="8194" max="8194" width="34.42578125" style="349" customWidth="1"/>
    <col min="8195" max="8197" width="23.85546875" style="349" customWidth="1"/>
    <col min="8198" max="8199" width="0" style="349" hidden="1" customWidth="1"/>
    <col min="8200" max="8200" width="23.85546875" style="349" customWidth="1"/>
    <col min="8201" max="8448" width="9.140625" style="349"/>
    <col min="8449" max="8449" width="5.85546875" style="349" customWidth="1"/>
    <col min="8450" max="8450" width="34.42578125" style="349" customWidth="1"/>
    <col min="8451" max="8453" width="23.85546875" style="349" customWidth="1"/>
    <col min="8454" max="8455" width="0" style="349" hidden="1" customWidth="1"/>
    <col min="8456" max="8456" width="23.85546875" style="349" customWidth="1"/>
    <col min="8457" max="8704" width="9.140625" style="349"/>
    <col min="8705" max="8705" width="5.85546875" style="349" customWidth="1"/>
    <col min="8706" max="8706" width="34.42578125" style="349" customWidth="1"/>
    <col min="8707" max="8709" width="23.85546875" style="349" customWidth="1"/>
    <col min="8710" max="8711" width="0" style="349" hidden="1" customWidth="1"/>
    <col min="8712" max="8712" width="23.85546875" style="349" customWidth="1"/>
    <col min="8713" max="8960" width="9.140625" style="349"/>
    <col min="8961" max="8961" width="5.85546875" style="349" customWidth="1"/>
    <col min="8962" max="8962" width="34.42578125" style="349" customWidth="1"/>
    <col min="8963" max="8965" width="23.85546875" style="349" customWidth="1"/>
    <col min="8966" max="8967" width="0" style="349" hidden="1" customWidth="1"/>
    <col min="8968" max="8968" width="23.85546875" style="349" customWidth="1"/>
    <col min="8969" max="9216" width="9.140625" style="349"/>
    <col min="9217" max="9217" width="5.85546875" style="349" customWidth="1"/>
    <col min="9218" max="9218" width="34.42578125" style="349" customWidth="1"/>
    <col min="9219" max="9221" width="23.85546875" style="349" customWidth="1"/>
    <col min="9222" max="9223" width="0" style="349" hidden="1" customWidth="1"/>
    <col min="9224" max="9224" width="23.85546875" style="349" customWidth="1"/>
    <col min="9225" max="9472" width="9.140625" style="349"/>
    <col min="9473" max="9473" width="5.85546875" style="349" customWidth="1"/>
    <col min="9474" max="9474" width="34.42578125" style="349" customWidth="1"/>
    <col min="9475" max="9477" width="23.85546875" style="349" customWidth="1"/>
    <col min="9478" max="9479" width="0" style="349" hidden="1" customWidth="1"/>
    <col min="9480" max="9480" width="23.85546875" style="349" customWidth="1"/>
    <col min="9481" max="9728" width="9.140625" style="349"/>
    <col min="9729" max="9729" width="5.85546875" style="349" customWidth="1"/>
    <col min="9730" max="9730" width="34.42578125" style="349" customWidth="1"/>
    <col min="9731" max="9733" width="23.85546875" style="349" customWidth="1"/>
    <col min="9734" max="9735" width="0" style="349" hidden="1" customWidth="1"/>
    <col min="9736" max="9736" width="23.85546875" style="349" customWidth="1"/>
    <col min="9737" max="9984" width="9.140625" style="349"/>
    <col min="9985" max="9985" width="5.85546875" style="349" customWidth="1"/>
    <col min="9986" max="9986" width="34.42578125" style="349" customWidth="1"/>
    <col min="9987" max="9989" width="23.85546875" style="349" customWidth="1"/>
    <col min="9990" max="9991" width="0" style="349" hidden="1" customWidth="1"/>
    <col min="9992" max="9992" width="23.85546875" style="349" customWidth="1"/>
    <col min="9993" max="10240" width="9.140625" style="349"/>
    <col min="10241" max="10241" width="5.85546875" style="349" customWidth="1"/>
    <col min="10242" max="10242" width="34.42578125" style="349" customWidth="1"/>
    <col min="10243" max="10245" width="23.85546875" style="349" customWidth="1"/>
    <col min="10246" max="10247" width="0" style="349" hidden="1" customWidth="1"/>
    <col min="10248" max="10248" width="23.85546875" style="349" customWidth="1"/>
    <col min="10249" max="10496" width="9.140625" style="349"/>
    <col min="10497" max="10497" width="5.85546875" style="349" customWidth="1"/>
    <col min="10498" max="10498" width="34.42578125" style="349" customWidth="1"/>
    <col min="10499" max="10501" width="23.85546875" style="349" customWidth="1"/>
    <col min="10502" max="10503" width="0" style="349" hidden="1" customWidth="1"/>
    <col min="10504" max="10504" width="23.85546875" style="349" customWidth="1"/>
    <col min="10505" max="10752" width="9.140625" style="349"/>
    <col min="10753" max="10753" width="5.85546875" style="349" customWidth="1"/>
    <col min="10754" max="10754" width="34.42578125" style="349" customWidth="1"/>
    <col min="10755" max="10757" width="23.85546875" style="349" customWidth="1"/>
    <col min="10758" max="10759" width="0" style="349" hidden="1" customWidth="1"/>
    <col min="10760" max="10760" width="23.85546875" style="349" customWidth="1"/>
    <col min="10761" max="11008" width="9.140625" style="349"/>
    <col min="11009" max="11009" width="5.85546875" style="349" customWidth="1"/>
    <col min="11010" max="11010" width="34.42578125" style="349" customWidth="1"/>
    <col min="11011" max="11013" width="23.85546875" style="349" customWidth="1"/>
    <col min="11014" max="11015" width="0" style="349" hidden="1" customWidth="1"/>
    <col min="11016" max="11016" width="23.85546875" style="349" customWidth="1"/>
    <col min="11017" max="11264" width="9.140625" style="349"/>
    <col min="11265" max="11265" width="5.85546875" style="349" customWidth="1"/>
    <col min="11266" max="11266" width="34.42578125" style="349" customWidth="1"/>
    <col min="11267" max="11269" width="23.85546875" style="349" customWidth="1"/>
    <col min="11270" max="11271" width="0" style="349" hidden="1" customWidth="1"/>
    <col min="11272" max="11272" width="23.85546875" style="349" customWidth="1"/>
    <col min="11273" max="11520" width="9.140625" style="349"/>
    <col min="11521" max="11521" width="5.85546875" style="349" customWidth="1"/>
    <col min="11522" max="11522" width="34.42578125" style="349" customWidth="1"/>
    <col min="11523" max="11525" width="23.85546875" style="349" customWidth="1"/>
    <col min="11526" max="11527" width="0" style="349" hidden="1" customWidth="1"/>
    <col min="11528" max="11528" width="23.85546875" style="349" customWidth="1"/>
    <col min="11529" max="11776" width="9.140625" style="349"/>
    <col min="11777" max="11777" width="5.85546875" style="349" customWidth="1"/>
    <col min="11778" max="11778" width="34.42578125" style="349" customWidth="1"/>
    <col min="11779" max="11781" width="23.85546875" style="349" customWidth="1"/>
    <col min="11782" max="11783" width="0" style="349" hidden="1" customWidth="1"/>
    <col min="11784" max="11784" width="23.85546875" style="349" customWidth="1"/>
    <col min="11785" max="12032" width="9.140625" style="349"/>
    <col min="12033" max="12033" width="5.85546875" style="349" customWidth="1"/>
    <col min="12034" max="12034" width="34.42578125" style="349" customWidth="1"/>
    <col min="12035" max="12037" width="23.85546875" style="349" customWidth="1"/>
    <col min="12038" max="12039" width="0" style="349" hidden="1" customWidth="1"/>
    <col min="12040" max="12040" width="23.85546875" style="349" customWidth="1"/>
    <col min="12041" max="12288" width="9.140625" style="349"/>
    <col min="12289" max="12289" width="5.85546875" style="349" customWidth="1"/>
    <col min="12290" max="12290" width="34.42578125" style="349" customWidth="1"/>
    <col min="12291" max="12293" width="23.85546875" style="349" customWidth="1"/>
    <col min="12294" max="12295" width="0" style="349" hidden="1" customWidth="1"/>
    <col min="12296" max="12296" width="23.85546875" style="349" customWidth="1"/>
    <col min="12297" max="12544" width="9.140625" style="349"/>
    <col min="12545" max="12545" width="5.85546875" style="349" customWidth="1"/>
    <col min="12546" max="12546" width="34.42578125" style="349" customWidth="1"/>
    <col min="12547" max="12549" width="23.85546875" style="349" customWidth="1"/>
    <col min="12550" max="12551" width="0" style="349" hidden="1" customWidth="1"/>
    <col min="12552" max="12552" width="23.85546875" style="349" customWidth="1"/>
    <col min="12553" max="12800" width="9.140625" style="349"/>
    <col min="12801" max="12801" width="5.85546875" style="349" customWidth="1"/>
    <col min="12802" max="12802" width="34.42578125" style="349" customWidth="1"/>
    <col min="12803" max="12805" width="23.85546875" style="349" customWidth="1"/>
    <col min="12806" max="12807" width="0" style="349" hidden="1" customWidth="1"/>
    <col min="12808" max="12808" width="23.85546875" style="349" customWidth="1"/>
    <col min="12809" max="13056" width="9.140625" style="349"/>
    <col min="13057" max="13057" width="5.85546875" style="349" customWidth="1"/>
    <col min="13058" max="13058" width="34.42578125" style="349" customWidth="1"/>
    <col min="13059" max="13061" width="23.85546875" style="349" customWidth="1"/>
    <col min="13062" max="13063" width="0" style="349" hidden="1" customWidth="1"/>
    <col min="13064" max="13064" width="23.85546875" style="349" customWidth="1"/>
    <col min="13065" max="13312" width="9.140625" style="349"/>
    <col min="13313" max="13313" width="5.85546875" style="349" customWidth="1"/>
    <col min="13314" max="13314" width="34.42578125" style="349" customWidth="1"/>
    <col min="13315" max="13317" width="23.85546875" style="349" customWidth="1"/>
    <col min="13318" max="13319" width="0" style="349" hidden="1" customWidth="1"/>
    <col min="13320" max="13320" width="23.85546875" style="349" customWidth="1"/>
    <col min="13321" max="13568" width="9.140625" style="349"/>
    <col min="13569" max="13569" width="5.85546875" style="349" customWidth="1"/>
    <col min="13570" max="13570" width="34.42578125" style="349" customWidth="1"/>
    <col min="13571" max="13573" width="23.85546875" style="349" customWidth="1"/>
    <col min="13574" max="13575" width="0" style="349" hidden="1" customWidth="1"/>
    <col min="13576" max="13576" width="23.85546875" style="349" customWidth="1"/>
    <col min="13577" max="13824" width="9.140625" style="349"/>
    <col min="13825" max="13825" width="5.85546875" style="349" customWidth="1"/>
    <col min="13826" max="13826" width="34.42578125" style="349" customWidth="1"/>
    <col min="13827" max="13829" width="23.85546875" style="349" customWidth="1"/>
    <col min="13830" max="13831" width="0" style="349" hidden="1" customWidth="1"/>
    <col min="13832" max="13832" width="23.85546875" style="349" customWidth="1"/>
    <col min="13833" max="14080" width="9.140625" style="349"/>
    <col min="14081" max="14081" width="5.85546875" style="349" customWidth="1"/>
    <col min="14082" max="14082" width="34.42578125" style="349" customWidth="1"/>
    <col min="14083" max="14085" width="23.85546875" style="349" customWidth="1"/>
    <col min="14086" max="14087" width="0" style="349" hidden="1" customWidth="1"/>
    <col min="14088" max="14088" width="23.85546875" style="349" customWidth="1"/>
    <col min="14089" max="14336" width="9.140625" style="349"/>
    <col min="14337" max="14337" width="5.85546875" style="349" customWidth="1"/>
    <col min="14338" max="14338" width="34.42578125" style="349" customWidth="1"/>
    <col min="14339" max="14341" width="23.85546875" style="349" customWidth="1"/>
    <col min="14342" max="14343" width="0" style="349" hidden="1" customWidth="1"/>
    <col min="14344" max="14344" width="23.85546875" style="349" customWidth="1"/>
    <col min="14345" max="14592" width="9.140625" style="349"/>
    <col min="14593" max="14593" width="5.85546875" style="349" customWidth="1"/>
    <col min="14594" max="14594" width="34.42578125" style="349" customWidth="1"/>
    <col min="14595" max="14597" width="23.85546875" style="349" customWidth="1"/>
    <col min="14598" max="14599" width="0" style="349" hidden="1" customWidth="1"/>
    <col min="14600" max="14600" width="23.85546875" style="349" customWidth="1"/>
    <col min="14601" max="14848" width="9.140625" style="349"/>
    <col min="14849" max="14849" width="5.85546875" style="349" customWidth="1"/>
    <col min="14850" max="14850" width="34.42578125" style="349" customWidth="1"/>
    <col min="14851" max="14853" width="23.85546875" style="349" customWidth="1"/>
    <col min="14854" max="14855" width="0" style="349" hidden="1" customWidth="1"/>
    <col min="14856" max="14856" width="23.85546875" style="349" customWidth="1"/>
    <col min="14857" max="15104" width="9.140625" style="349"/>
    <col min="15105" max="15105" width="5.85546875" style="349" customWidth="1"/>
    <col min="15106" max="15106" width="34.42578125" style="349" customWidth="1"/>
    <col min="15107" max="15109" width="23.85546875" style="349" customWidth="1"/>
    <col min="15110" max="15111" width="0" style="349" hidden="1" customWidth="1"/>
    <col min="15112" max="15112" width="23.85546875" style="349" customWidth="1"/>
    <col min="15113" max="15360" width="9.140625" style="349"/>
    <col min="15361" max="15361" width="5.85546875" style="349" customWidth="1"/>
    <col min="15362" max="15362" width="34.42578125" style="349" customWidth="1"/>
    <col min="15363" max="15365" width="23.85546875" style="349" customWidth="1"/>
    <col min="15366" max="15367" width="0" style="349" hidden="1" customWidth="1"/>
    <col min="15368" max="15368" width="23.85546875" style="349" customWidth="1"/>
    <col min="15369" max="15616" width="9.140625" style="349"/>
    <col min="15617" max="15617" width="5.85546875" style="349" customWidth="1"/>
    <col min="15618" max="15618" width="34.42578125" style="349" customWidth="1"/>
    <col min="15619" max="15621" width="23.85546875" style="349" customWidth="1"/>
    <col min="15622" max="15623" width="0" style="349" hidden="1" customWidth="1"/>
    <col min="15624" max="15624" width="23.85546875" style="349" customWidth="1"/>
    <col min="15625" max="15872" width="9.140625" style="349"/>
    <col min="15873" max="15873" width="5.85546875" style="349" customWidth="1"/>
    <col min="15874" max="15874" width="34.42578125" style="349" customWidth="1"/>
    <col min="15875" max="15877" width="23.85546875" style="349" customWidth="1"/>
    <col min="15878" max="15879" width="0" style="349" hidden="1" customWidth="1"/>
    <col min="15880" max="15880" width="23.85546875" style="349" customWidth="1"/>
    <col min="15881" max="16128" width="9.140625" style="349"/>
    <col min="16129" max="16129" width="5.85546875" style="349" customWidth="1"/>
    <col min="16130" max="16130" width="34.42578125" style="349" customWidth="1"/>
    <col min="16131" max="16133" width="23.85546875" style="349" customWidth="1"/>
    <col min="16134" max="16135" width="0" style="349" hidden="1" customWidth="1"/>
    <col min="16136" max="16136" width="23.85546875" style="349" customWidth="1"/>
    <col min="16137" max="16384" width="9.140625" style="349"/>
  </cols>
  <sheetData>
    <row r="1" spans="1:9" ht="21" customHeight="1">
      <c r="A1" s="344"/>
      <c r="B1" s="344"/>
      <c r="C1" s="346"/>
      <c r="D1" s="346"/>
      <c r="E1" s="347"/>
      <c r="F1" s="347"/>
      <c r="G1" s="347"/>
      <c r="H1" s="348" t="s">
        <v>1004</v>
      </c>
    </row>
    <row r="2" spans="1:9" ht="38.25" customHeight="1">
      <c r="A2" s="1211" t="s">
        <v>1053</v>
      </c>
      <c r="B2" s="1211"/>
      <c r="C2" s="1211"/>
      <c r="D2" s="1211"/>
      <c r="E2" s="1211"/>
      <c r="F2" s="1211"/>
      <c r="G2" s="1211"/>
      <c r="H2" s="1211"/>
    </row>
    <row r="3" spans="1:9" ht="21" customHeight="1">
      <c r="A3" s="1148" t="s">
        <v>1210</v>
      </c>
      <c r="B3" s="1148"/>
      <c r="C3" s="1148"/>
      <c r="D3" s="1148"/>
      <c r="E3" s="1148"/>
      <c r="F3" s="1148"/>
      <c r="G3" s="1148"/>
      <c r="H3" s="1148"/>
    </row>
    <row r="4" spans="1:9" ht="19.5" customHeight="1">
      <c r="A4" s="351"/>
      <c r="B4" s="386"/>
      <c r="C4" s="353"/>
      <c r="D4" s="370"/>
      <c r="E4" s="1200" t="s">
        <v>2</v>
      </c>
      <c r="F4" s="1200"/>
      <c r="G4" s="1200"/>
      <c r="H4" s="1200"/>
    </row>
    <row r="5" spans="1:9" s="301" customFormat="1" ht="27.75" customHeight="1">
      <c r="A5" s="1202" t="s">
        <v>3</v>
      </c>
      <c r="B5" s="1202" t="s">
        <v>1005</v>
      </c>
      <c r="C5" s="1202" t="s">
        <v>89</v>
      </c>
      <c r="D5" s="1202" t="s">
        <v>755</v>
      </c>
      <c r="E5" s="1202" t="s">
        <v>1006</v>
      </c>
      <c r="F5" s="1212" t="s">
        <v>365</v>
      </c>
      <c r="G5" s="1213"/>
      <c r="H5" s="1202" t="s">
        <v>757</v>
      </c>
      <c r="I5" s="370"/>
    </row>
    <row r="6" spans="1:9" s="301" customFormat="1" ht="27.75" customHeight="1">
      <c r="A6" s="1202"/>
      <c r="B6" s="1202"/>
      <c r="C6" s="1202"/>
      <c r="D6" s="1202"/>
      <c r="E6" s="1202"/>
      <c r="F6" s="1209" t="s">
        <v>1007</v>
      </c>
      <c r="G6" s="1209" t="s">
        <v>97</v>
      </c>
      <c r="H6" s="1202"/>
    </row>
    <row r="7" spans="1:9" s="301" customFormat="1" ht="27.75" customHeight="1">
      <c r="A7" s="1202"/>
      <c r="B7" s="1202"/>
      <c r="C7" s="1202"/>
      <c r="D7" s="1202"/>
      <c r="E7" s="1202"/>
      <c r="F7" s="1210"/>
      <c r="G7" s="1210"/>
      <c r="H7" s="1202"/>
    </row>
    <row r="8" spans="1:9" s="358" customFormat="1" ht="17.25" customHeight="1">
      <c r="A8" s="355" t="s">
        <v>10</v>
      </c>
      <c r="B8" s="355" t="s">
        <v>11</v>
      </c>
      <c r="C8" s="355" t="s">
        <v>1008</v>
      </c>
      <c r="D8" s="355">
        <v>2</v>
      </c>
      <c r="E8" s="355">
        <f>D8+1</f>
        <v>3</v>
      </c>
      <c r="F8" s="355"/>
      <c r="G8" s="355"/>
      <c r="H8" s="355">
        <f>E8+1</f>
        <v>4</v>
      </c>
    </row>
    <row r="9" spans="1:9" s="353" customFormat="1" ht="28.5" customHeight="1">
      <c r="A9" s="371"/>
      <c r="B9" s="372" t="s">
        <v>102</v>
      </c>
      <c r="C9" s="373">
        <f t="shared" ref="C9:H9" si="0">SUM(C10:C19)</f>
        <v>771042</v>
      </c>
      <c r="D9" s="373">
        <f t="shared" si="0"/>
        <v>231275</v>
      </c>
      <c r="E9" s="373">
        <f t="shared" si="0"/>
        <v>539767</v>
      </c>
      <c r="F9" s="373">
        <f t="shared" si="0"/>
        <v>359578</v>
      </c>
      <c r="G9" s="373">
        <f t="shared" si="0"/>
        <v>180189</v>
      </c>
      <c r="H9" s="373">
        <f t="shared" si="0"/>
        <v>0</v>
      </c>
      <c r="I9" s="374"/>
    </row>
    <row r="10" spans="1:9" s="353" customFormat="1" ht="28.5" customHeight="1">
      <c r="A10" s="375">
        <v>1</v>
      </c>
      <c r="B10" s="376" t="s">
        <v>613</v>
      </c>
      <c r="C10" s="377">
        <f>D10+E10+H10</f>
        <v>156429</v>
      </c>
      <c r="D10" s="377">
        <f>'PL43'!D12</f>
        <v>73230</v>
      </c>
      <c r="E10" s="377">
        <f>F10+G10</f>
        <v>83199</v>
      </c>
      <c r="F10" s="377">
        <f>'PL44'!C11-'PL42'!G10</f>
        <v>57148</v>
      </c>
      <c r="G10" s="377">
        <f>'PL44'!AM11+'PL44'!AP11+'PL44'!AS11+'PL44'!AV11+'PL44'!AY11</f>
        <v>26051</v>
      </c>
      <c r="H10" s="377"/>
    </row>
    <row r="11" spans="1:9" s="353" customFormat="1" ht="28.5" customHeight="1">
      <c r="A11" s="375">
        <f>A10+1</f>
        <v>2</v>
      </c>
      <c r="B11" s="376" t="s">
        <v>612</v>
      </c>
      <c r="C11" s="377">
        <f t="shared" ref="C11:C19" si="1">D11+E11+H11</f>
        <v>77802</v>
      </c>
      <c r="D11" s="377">
        <f>'PL43'!D13</f>
        <v>23125</v>
      </c>
      <c r="E11" s="377">
        <f t="shared" ref="E11:E19" si="2">F11+G11</f>
        <v>54677</v>
      </c>
      <c r="F11" s="377">
        <f>'PL44'!C12-'PL42'!G11</f>
        <v>35494</v>
      </c>
      <c r="G11" s="377">
        <f>'PL44'!AM12+'PL44'!AP12+'PL44'!AS12+'PL44'!AV12+'PL44'!AY12</f>
        <v>19183</v>
      </c>
      <c r="H11" s="377"/>
    </row>
    <row r="12" spans="1:9" s="353" customFormat="1" ht="28.5" customHeight="1">
      <c r="A12" s="375">
        <f t="shared" ref="A12:A19" si="3">A11+1</f>
        <v>3</v>
      </c>
      <c r="B12" s="376" t="s">
        <v>611</v>
      </c>
      <c r="C12" s="377">
        <f t="shared" si="1"/>
        <v>70840</v>
      </c>
      <c r="D12" s="377">
        <f>'PL43'!D14</f>
        <v>19859</v>
      </c>
      <c r="E12" s="377">
        <f t="shared" si="2"/>
        <v>50981</v>
      </c>
      <c r="F12" s="377">
        <f>'PL44'!C13-'PL42'!G12</f>
        <v>30822</v>
      </c>
      <c r="G12" s="377">
        <f>'PL44'!AM13+'PL44'!AP13+'PL44'!AS13+'PL44'!AV13+'PL44'!AY13</f>
        <v>20159</v>
      </c>
      <c r="H12" s="377"/>
    </row>
    <row r="13" spans="1:9" s="353" customFormat="1" ht="28.5" customHeight="1">
      <c r="A13" s="375">
        <f t="shared" si="3"/>
        <v>4</v>
      </c>
      <c r="B13" s="376" t="s">
        <v>610</v>
      </c>
      <c r="C13" s="377">
        <f t="shared" si="1"/>
        <v>60562</v>
      </c>
      <c r="D13" s="377">
        <f>'PL43'!D15</f>
        <v>12310</v>
      </c>
      <c r="E13" s="377">
        <f t="shared" si="2"/>
        <v>48252</v>
      </c>
      <c r="F13" s="377">
        <f>'PL44'!C14-'PL42'!G13</f>
        <v>27519</v>
      </c>
      <c r="G13" s="377">
        <f>'PL44'!AM14+'PL44'!AP14+'PL44'!AS14+'PL44'!AV14+'PL44'!AY14</f>
        <v>20733</v>
      </c>
      <c r="H13" s="377"/>
    </row>
    <row r="14" spans="1:9" s="353" customFormat="1" ht="28.5" customHeight="1">
      <c r="A14" s="375">
        <f t="shared" si="3"/>
        <v>5</v>
      </c>
      <c r="B14" s="376" t="s">
        <v>609</v>
      </c>
      <c r="C14" s="377">
        <f t="shared" si="1"/>
        <v>81615</v>
      </c>
      <c r="D14" s="377">
        <f>'PL43'!D16</f>
        <v>9470</v>
      </c>
      <c r="E14" s="377">
        <f t="shared" si="2"/>
        <v>72145</v>
      </c>
      <c r="F14" s="377">
        <f>'PL44'!C15-'PL42'!G14</f>
        <v>50604</v>
      </c>
      <c r="G14" s="377">
        <f>'PL44'!AM15+'PL44'!AP15+'PL44'!AS15+'PL44'!AV15+'PL44'!AY15</f>
        <v>21541</v>
      </c>
      <c r="H14" s="377"/>
    </row>
    <row r="15" spans="1:9" s="353" customFormat="1" ht="28.5" customHeight="1">
      <c r="A15" s="375">
        <f t="shared" si="3"/>
        <v>6</v>
      </c>
      <c r="B15" s="376" t="s">
        <v>608</v>
      </c>
      <c r="C15" s="377">
        <f t="shared" si="1"/>
        <v>58924</v>
      </c>
      <c r="D15" s="377">
        <f>'PL43'!D17</f>
        <v>9065</v>
      </c>
      <c r="E15" s="377">
        <f t="shared" si="2"/>
        <v>49859</v>
      </c>
      <c r="F15" s="377">
        <f>'PL44'!C16-'PL42'!G15</f>
        <v>35545</v>
      </c>
      <c r="G15" s="377">
        <f>'PL44'!AM16+'PL44'!AP16+'PL44'!AS16+'PL44'!AV16+'PL44'!AY16</f>
        <v>14314</v>
      </c>
      <c r="H15" s="377"/>
    </row>
    <row r="16" spans="1:9" s="353" customFormat="1" ht="28.5" customHeight="1">
      <c r="A16" s="375">
        <f t="shared" si="3"/>
        <v>7</v>
      </c>
      <c r="B16" s="376" t="s">
        <v>744</v>
      </c>
      <c r="C16" s="377">
        <f t="shared" si="1"/>
        <v>43386</v>
      </c>
      <c r="D16" s="377">
        <f>'PL43'!D18</f>
        <v>9270</v>
      </c>
      <c r="E16" s="377">
        <f t="shared" si="2"/>
        <v>34116</v>
      </c>
      <c r="F16" s="377">
        <f>'PL44'!C17-'PL42'!G16</f>
        <v>15568</v>
      </c>
      <c r="G16" s="377">
        <f>'PL44'!AM17+'PL44'!AP17+'PL44'!AS17+'PL44'!AV17+'PL44'!AY17</f>
        <v>18548</v>
      </c>
      <c r="H16" s="377"/>
    </row>
    <row r="17" spans="1:8" s="353" customFormat="1" ht="28.5" customHeight="1">
      <c r="A17" s="375">
        <f>A16+1</f>
        <v>8</v>
      </c>
      <c r="B17" s="376" t="s">
        <v>606</v>
      </c>
      <c r="C17" s="377">
        <f t="shared" si="1"/>
        <v>47779</v>
      </c>
      <c r="D17" s="377">
        <f>'PL43'!D19</f>
        <v>11975</v>
      </c>
      <c r="E17" s="377">
        <f t="shared" si="2"/>
        <v>35804</v>
      </c>
      <c r="F17" s="377">
        <f>'PL44'!C18-'PL42'!G17</f>
        <v>28756</v>
      </c>
      <c r="G17" s="377">
        <f>'PL44'!AM18+'PL44'!AP18+'PL44'!AS18+'PL44'!AV18+'PL44'!AY18</f>
        <v>7048</v>
      </c>
      <c r="H17" s="377"/>
    </row>
    <row r="18" spans="1:8" s="353" customFormat="1" ht="28.5" customHeight="1">
      <c r="A18" s="375">
        <f t="shared" si="3"/>
        <v>9</v>
      </c>
      <c r="B18" s="376" t="s">
        <v>682</v>
      </c>
      <c r="C18" s="377">
        <f t="shared" si="1"/>
        <v>103376</v>
      </c>
      <c r="D18" s="377">
        <f>'PL43'!D20</f>
        <v>53801</v>
      </c>
      <c r="E18" s="377">
        <f t="shared" si="2"/>
        <v>49575</v>
      </c>
      <c r="F18" s="377">
        <f>'PL44'!C19-'PL42'!G18</f>
        <v>36098</v>
      </c>
      <c r="G18" s="377">
        <f>'PL44'!AM19+'PL44'!AP19+'PL44'!AS19+'PL44'!AV19+'PL44'!AY19</f>
        <v>13477</v>
      </c>
      <c r="H18" s="377"/>
    </row>
    <row r="19" spans="1:8" s="353" customFormat="1" ht="30.75" customHeight="1">
      <c r="A19" s="375">
        <f t="shared" si="3"/>
        <v>10</v>
      </c>
      <c r="B19" s="376" t="s">
        <v>604</v>
      </c>
      <c r="C19" s="377">
        <f t="shared" si="1"/>
        <v>70329</v>
      </c>
      <c r="D19" s="377">
        <f>'PL43'!D21</f>
        <v>9170</v>
      </c>
      <c r="E19" s="377">
        <f t="shared" si="2"/>
        <v>61159</v>
      </c>
      <c r="F19" s="377">
        <f>'PL44'!C20-'PL42'!G19</f>
        <v>42024</v>
      </c>
      <c r="G19" s="377">
        <f>'PL44'!AM20+'PL44'!AP20+'PL44'!AS20+'PL44'!AV20+'PL44'!AY20</f>
        <v>19135</v>
      </c>
      <c r="H19" s="377"/>
    </row>
    <row r="20" spans="1:8" ht="15.95" customHeight="1">
      <c r="A20" s="378"/>
      <c r="B20" s="378"/>
      <c r="C20" s="378"/>
      <c r="D20" s="378"/>
      <c r="E20" s="378"/>
      <c r="F20" s="378"/>
      <c r="G20" s="378"/>
      <c r="H20" s="378"/>
    </row>
    <row r="21" spans="1:8" ht="25.5" customHeight="1">
      <c r="A21" s="367"/>
      <c r="B21" s="379"/>
      <c r="C21" s="353"/>
      <c r="D21" s="353"/>
      <c r="E21" s="353"/>
      <c r="F21" s="353"/>
      <c r="G21" s="353"/>
      <c r="H21" s="353"/>
    </row>
    <row r="22" spans="1:8" ht="18.75">
      <c r="A22" s="353"/>
      <c r="B22" s="353"/>
      <c r="C22" s="353"/>
      <c r="D22" s="353"/>
      <c r="E22" s="353"/>
      <c r="F22" s="353"/>
      <c r="G22" s="353"/>
      <c r="H22" s="353"/>
    </row>
    <row r="23" spans="1:8" ht="18.75">
      <c r="A23" s="353"/>
      <c r="B23" s="353"/>
      <c r="C23" s="353"/>
      <c r="D23" s="353"/>
      <c r="E23" s="353"/>
      <c r="F23" s="353"/>
      <c r="G23" s="353"/>
      <c r="H23" s="353"/>
    </row>
    <row r="24" spans="1:8" ht="18.75">
      <c r="A24" s="353"/>
      <c r="B24" s="353"/>
      <c r="C24" s="353"/>
      <c r="D24" s="353"/>
      <c r="E24" s="353"/>
      <c r="F24" s="353"/>
      <c r="G24" s="353"/>
      <c r="H24" s="353"/>
    </row>
    <row r="25" spans="1:8" ht="18.75">
      <c r="A25" s="353"/>
      <c r="B25" s="353"/>
      <c r="C25" s="353"/>
      <c r="D25" s="353"/>
      <c r="E25" s="353"/>
      <c r="F25" s="353"/>
      <c r="G25" s="353"/>
      <c r="H25" s="353"/>
    </row>
    <row r="26" spans="1:8" ht="18.75">
      <c r="A26" s="353"/>
      <c r="B26" s="353"/>
      <c r="C26" s="353"/>
      <c r="D26" s="353"/>
      <c r="E26" s="353"/>
      <c r="F26" s="353"/>
      <c r="G26" s="353"/>
      <c r="H26" s="353"/>
    </row>
    <row r="27" spans="1:8" ht="18.75">
      <c r="A27" s="353"/>
      <c r="B27" s="353"/>
      <c r="C27" s="353"/>
      <c r="D27" s="353"/>
      <c r="E27" s="353"/>
      <c r="F27" s="353"/>
      <c r="G27" s="353"/>
      <c r="H27" s="353"/>
    </row>
    <row r="28" spans="1:8" ht="18.75">
      <c r="A28" s="353"/>
      <c r="B28" s="353"/>
      <c r="C28" s="353"/>
      <c r="D28" s="353"/>
      <c r="E28" s="353"/>
      <c r="F28" s="353"/>
      <c r="G28" s="353"/>
      <c r="H28" s="353"/>
    </row>
    <row r="29" spans="1:8" ht="18.75">
      <c r="A29" s="353"/>
      <c r="B29" s="353"/>
      <c r="C29" s="353"/>
      <c r="D29" s="353"/>
      <c r="E29" s="353"/>
      <c r="F29" s="353"/>
      <c r="G29" s="353"/>
      <c r="H29" s="353"/>
    </row>
    <row r="30" spans="1:8" ht="18.75">
      <c r="A30" s="353"/>
      <c r="B30" s="353"/>
      <c r="C30" s="353"/>
      <c r="D30" s="353"/>
      <c r="E30" s="353"/>
      <c r="F30" s="353"/>
      <c r="G30" s="353"/>
      <c r="H30" s="353"/>
    </row>
    <row r="31" spans="1:8" ht="22.5" customHeight="1">
      <c r="A31" s="353"/>
      <c r="B31" s="353"/>
      <c r="C31" s="353"/>
      <c r="D31" s="353"/>
      <c r="E31" s="353"/>
      <c r="F31" s="353"/>
      <c r="G31" s="353"/>
      <c r="H31" s="353"/>
    </row>
    <row r="32" spans="1:8" ht="18.75">
      <c r="A32" s="353"/>
      <c r="B32" s="353"/>
      <c r="C32" s="353"/>
      <c r="D32" s="353"/>
      <c r="E32" s="353"/>
      <c r="F32" s="353"/>
      <c r="G32" s="353"/>
      <c r="H32" s="353"/>
    </row>
    <row r="33" spans="1:8" ht="18.75">
      <c r="A33" s="353"/>
      <c r="B33" s="353"/>
      <c r="C33" s="353"/>
      <c r="D33" s="353"/>
      <c r="E33" s="353"/>
      <c r="F33" s="353"/>
      <c r="G33" s="353"/>
      <c r="H33" s="353"/>
    </row>
    <row r="34" spans="1:8" ht="18.75">
      <c r="A34" s="353"/>
      <c r="B34" s="353"/>
      <c r="C34" s="353"/>
      <c r="D34" s="353"/>
      <c r="E34" s="353"/>
      <c r="F34" s="353"/>
      <c r="G34" s="353"/>
      <c r="H34" s="353"/>
    </row>
    <row r="35" spans="1:8" ht="18.75">
      <c r="A35" s="353"/>
      <c r="B35" s="353"/>
      <c r="C35" s="353"/>
      <c r="D35" s="353"/>
      <c r="E35" s="353"/>
      <c r="F35" s="353"/>
      <c r="G35" s="353"/>
      <c r="H35" s="353"/>
    </row>
  </sheetData>
  <mergeCells count="12">
    <mergeCell ref="F6:F7"/>
    <mergeCell ref="G6:G7"/>
    <mergeCell ref="A2:H2"/>
    <mergeCell ref="A3:H3"/>
    <mergeCell ref="E4:H4"/>
    <mergeCell ref="A5:A7"/>
    <mergeCell ref="B5:B7"/>
    <mergeCell ref="C5:C7"/>
    <mergeCell ref="D5:D7"/>
    <mergeCell ref="E5:E7"/>
    <mergeCell ref="F5:G5"/>
    <mergeCell ref="H5:H7"/>
  </mergeCells>
  <printOptions horizontalCentered="1"/>
  <pageMargins left="0.31" right="0.32" top="0.8" bottom="0.59" header="0.53" footer="0.2"/>
  <pageSetup paperSize="9" scale="72" fitToHeight="5" orientation="portrait" r:id="rId1"/>
  <headerFooter alignWithMargins="0">
    <oddHeader xml:space="preserve">&amp;C&amp;"Times New Roman,Regular"
</oddHeader>
    <oddFooter>&amp;C&amp;".VnTime,  Italic"&amp;8
&amp;".VnTimeH,Regular"&amp;12&amp;P/&amp;N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F38"/>
  <sheetViews>
    <sheetView showZeros="0" zoomScale="70" zoomScaleNormal="70" workbookViewId="0">
      <selection activeCell="C5" sqref="C5:E5"/>
    </sheetView>
  </sheetViews>
  <sheetFormatPr defaultRowHeight="15.75" outlineLevelCol="1"/>
  <cols>
    <col min="1" max="1" width="5.85546875" style="349" customWidth="1"/>
    <col min="2" max="2" width="26.28515625" style="349" customWidth="1"/>
    <col min="3" max="3" width="11.7109375" style="349" customWidth="1"/>
    <col min="4" max="4" width="11.28515625" style="349" customWidth="1"/>
    <col min="5" max="5" width="10.28515625" style="349" customWidth="1"/>
    <col min="6" max="6" width="11.7109375" style="349" customWidth="1"/>
    <col min="7" max="7" width="11.140625" style="349" customWidth="1"/>
    <col min="8" max="8" width="10.28515625" style="349" customWidth="1"/>
    <col min="9" max="9" width="11.85546875" style="349" customWidth="1"/>
    <col min="10" max="10" width="10.7109375" style="349" customWidth="1"/>
    <col min="11" max="11" width="10.28515625" style="349" customWidth="1"/>
    <col min="12" max="12" width="11.28515625" style="349" customWidth="1"/>
    <col min="13" max="13" width="10.42578125" style="349" customWidth="1"/>
    <col min="14" max="14" width="10.28515625" style="349" customWidth="1"/>
    <col min="15" max="15" width="12.5703125" style="349" customWidth="1"/>
    <col min="16" max="16" width="10.85546875" style="349" customWidth="1"/>
    <col min="17" max="17" width="10.28515625" style="349" customWidth="1"/>
    <col min="18" max="18" width="12.5703125" style="349" customWidth="1"/>
    <col min="19" max="19" width="10.85546875" style="349" customWidth="1"/>
    <col min="20" max="20" width="10.28515625" style="349" customWidth="1"/>
    <col min="21" max="21" width="12.140625" style="349" hidden="1" customWidth="1" outlineLevel="1"/>
    <col min="22" max="23" width="10.28515625" style="349" hidden="1" customWidth="1" outlineLevel="1"/>
    <col min="24" max="24" width="12.140625" style="349" hidden="1" customWidth="1" outlineLevel="1"/>
    <col min="25" max="26" width="10.28515625" style="349" hidden="1" customWidth="1" outlineLevel="1"/>
    <col min="27" max="27" width="10.85546875" style="349" customWidth="1" collapsed="1"/>
    <col min="28" max="29" width="11.85546875" style="349" customWidth="1"/>
    <col min="30" max="32" width="14.85546875" style="349" customWidth="1"/>
    <col min="33" max="259" width="9.140625" style="349"/>
    <col min="260" max="260" width="5.85546875" style="349" customWidth="1"/>
    <col min="261" max="261" width="26.28515625" style="349" customWidth="1"/>
    <col min="262" max="262" width="11.7109375" style="349" customWidth="1"/>
    <col min="263" max="263" width="11.28515625" style="349" customWidth="1"/>
    <col min="264" max="264" width="10.28515625" style="349" customWidth="1"/>
    <col min="265" max="265" width="11.7109375" style="349" customWidth="1"/>
    <col min="266" max="266" width="11.140625" style="349" customWidth="1"/>
    <col min="267" max="267" width="10.28515625" style="349" customWidth="1"/>
    <col min="268" max="268" width="11.85546875" style="349" customWidth="1"/>
    <col min="269" max="269" width="10.7109375" style="349" customWidth="1"/>
    <col min="270" max="270" width="10.28515625" style="349" customWidth="1"/>
    <col min="271" max="271" width="11.28515625" style="349" customWidth="1"/>
    <col min="272" max="272" width="10.42578125" style="349" customWidth="1"/>
    <col min="273" max="273" width="10.28515625" style="349" customWidth="1"/>
    <col min="274" max="274" width="12.5703125" style="349" customWidth="1"/>
    <col min="275" max="275" width="10.85546875" style="349" customWidth="1"/>
    <col min="276" max="276" width="10.28515625" style="349" customWidth="1"/>
    <col min="277" max="277" width="12.5703125" style="349" customWidth="1"/>
    <col min="278" max="278" width="10.85546875" style="349" customWidth="1"/>
    <col min="279" max="279" width="10.28515625" style="349" customWidth="1"/>
    <col min="280" max="280" width="12.140625" style="349" customWidth="1"/>
    <col min="281" max="282" width="10.28515625" style="349" customWidth="1"/>
    <col min="283" max="283" width="10.85546875" style="349" customWidth="1"/>
    <col min="284" max="285" width="11.85546875" style="349" customWidth="1"/>
    <col min="286" max="515" width="9.140625" style="349"/>
    <col min="516" max="516" width="5.85546875" style="349" customWidth="1"/>
    <col min="517" max="517" width="26.28515625" style="349" customWidth="1"/>
    <col min="518" max="518" width="11.7109375" style="349" customWidth="1"/>
    <col min="519" max="519" width="11.28515625" style="349" customWidth="1"/>
    <col min="520" max="520" width="10.28515625" style="349" customWidth="1"/>
    <col min="521" max="521" width="11.7109375" style="349" customWidth="1"/>
    <col min="522" max="522" width="11.140625" style="349" customWidth="1"/>
    <col min="523" max="523" width="10.28515625" style="349" customWidth="1"/>
    <col min="524" max="524" width="11.85546875" style="349" customWidth="1"/>
    <col min="525" max="525" width="10.7109375" style="349" customWidth="1"/>
    <col min="526" max="526" width="10.28515625" style="349" customWidth="1"/>
    <col min="527" max="527" width="11.28515625" style="349" customWidth="1"/>
    <col min="528" max="528" width="10.42578125" style="349" customWidth="1"/>
    <col min="529" max="529" width="10.28515625" style="349" customWidth="1"/>
    <col min="530" max="530" width="12.5703125" style="349" customWidth="1"/>
    <col min="531" max="531" width="10.85546875" style="349" customWidth="1"/>
    <col min="532" max="532" width="10.28515625" style="349" customWidth="1"/>
    <col min="533" max="533" width="12.5703125" style="349" customWidth="1"/>
    <col min="534" max="534" width="10.85546875" style="349" customWidth="1"/>
    <col min="535" max="535" width="10.28515625" style="349" customWidth="1"/>
    <col min="536" max="536" width="12.140625" style="349" customWidth="1"/>
    <col min="537" max="538" width="10.28515625" style="349" customWidth="1"/>
    <col min="539" max="539" width="10.85546875" style="349" customWidth="1"/>
    <col min="540" max="541" width="11.85546875" style="349" customWidth="1"/>
    <col min="542" max="771" width="9.140625" style="349"/>
    <col min="772" max="772" width="5.85546875" style="349" customWidth="1"/>
    <col min="773" max="773" width="26.28515625" style="349" customWidth="1"/>
    <col min="774" max="774" width="11.7109375" style="349" customWidth="1"/>
    <col min="775" max="775" width="11.28515625" style="349" customWidth="1"/>
    <col min="776" max="776" width="10.28515625" style="349" customWidth="1"/>
    <col min="777" max="777" width="11.7109375" style="349" customWidth="1"/>
    <col min="778" max="778" width="11.140625" style="349" customWidth="1"/>
    <col min="779" max="779" width="10.28515625" style="349" customWidth="1"/>
    <col min="780" max="780" width="11.85546875" style="349" customWidth="1"/>
    <col min="781" max="781" width="10.7109375" style="349" customWidth="1"/>
    <col min="782" max="782" width="10.28515625" style="349" customWidth="1"/>
    <col min="783" max="783" width="11.28515625" style="349" customWidth="1"/>
    <col min="784" max="784" width="10.42578125" style="349" customWidth="1"/>
    <col min="785" max="785" width="10.28515625" style="349" customWidth="1"/>
    <col min="786" max="786" width="12.5703125" style="349" customWidth="1"/>
    <col min="787" max="787" width="10.85546875" style="349" customWidth="1"/>
    <col min="788" max="788" width="10.28515625" style="349" customWidth="1"/>
    <col min="789" max="789" width="12.5703125" style="349" customWidth="1"/>
    <col min="790" max="790" width="10.85546875" style="349" customWidth="1"/>
    <col min="791" max="791" width="10.28515625" style="349" customWidth="1"/>
    <col min="792" max="792" width="12.140625" style="349" customWidth="1"/>
    <col min="793" max="794" width="10.28515625" style="349" customWidth="1"/>
    <col min="795" max="795" width="10.85546875" style="349" customWidth="1"/>
    <col min="796" max="797" width="11.85546875" style="349" customWidth="1"/>
    <col min="798" max="1027" width="9.140625" style="349"/>
    <col min="1028" max="1028" width="5.85546875" style="349" customWidth="1"/>
    <col min="1029" max="1029" width="26.28515625" style="349" customWidth="1"/>
    <col min="1030" max="1030" width="11.7109375" style="349" customWidth="1"/>
    <col min="1031" max="1031" width="11.28515625" style="349" customWidth="1"/>
    <col min="1032" max="1032" width="10.28515625" style="349" customWidth="1"/>
    <col min="1033" max="1033" width="11.7109375" style="349" customWidth="1"/>
    <col min="1034" max="1034" width="11.140625" style="349" customWidth="1"/>
    <col min="1035" max="1035" width="10.28515625" style="349" customWidth="1"/>
    <col min="1036" max="1036" width="11.85546875" style="349" customWidth="1"/>
    <col min="1037" max="1037" width="10.7109375" style="349" customWidth="1"/>
    <col min="1038" max="1038" width="10.28515625" style="349" customWidth="1"/>
    <col min="1039" max="1039" width="11.28515625" style="349" customWidth="1"/>
    <col min="1040" max="1040" width="10.42578125" style="349" customWidth="1"/>
    <col min="1041" max="1041" width="10.28515625" style="349" customWidth="1"/>
    <col min="1042" max="1042" width="12.5703125" style="349" customWidth="1"/>
    <col min="1043" max="1043" width="10.85546875" style="349" customWidth="1"/>
    <col min="1044" max="1044" width="10.28515625" style="349" customWidth="1"/>
    <col min="1045" max="1045" width="12.5703125" style="349" customWidth="1"/>
    <col min="1046" max="1046" width="10.85546875" style="349" customWidth="1"/>
    <col min="1047" max="1047" width="10.28515625" style="349" customWidth="1"/>
    <col min="1048" max="1048" width="12.140625" style="349" customWidth="1"/>
    <col min="1049" max="1050" width="10.28515625" style="349" customWidth="1"/>
    <col min="1051" max="1051" width="10.85546875" style="349" customWidth="1"/>
    <col min="1052" max="1053" width="11.85546875" style="349" customWidth="1"/>
    <col min="1054" max="1283" width="9.140625" style="349"/>
    <col min="1284" max="1284" width="5.85546875" style="349" customWidth="1"/>
    <col min="1285" max="1285" width="26.28515625" style="349" customWidth="1"/>
    <col min="1286" max="1286" width="11.7109375" style="349" customWidth="1"/>
    <col min="1287" max="1287" width="11.28515625" style="349" customWidth="1"/>
    <col min="1288" max="1288" width="10.28515625" style="349" customWidth="1"/>
    <col min="1289" max="1289" width="11.7109375" style="349" customWidth="1"/>
    <col min="1290" max="1290" width="11.140625" style="349" customWidth="1"/>
    <col min="1291" max="1291" width="10.28515625" style="349" customWidth="1"/>
    <col min="1292" max="1292" width="11.85546875" style="349" customWidth="1"/>
    <col min="1293" max="1293" width="10.7109375" style="349" customWidth="1"/>
    <col min="1294" max="1294" width="10.28515625" style="349" customWidth="1"/>
    <col min="1295" max="1295" width="11.28515625" style="349" customWidth="1"/>
    <col min="1296" max="1296" width="10.42578125" style="349" customWidth="1"/>
    <col min="1297" max="1297" width="10.28515625" style="349" customWidth="1"/>
    <col min="1298" max="1298" width="12.5703125" style="349" customWidth="1"/>
    <col min="1299" max="1299" width="10.85546875" style="349" customWidth="1"/>
    <col min="1300" max="1300" width="10.28515625" style="349" customWidth="1"/>
    <col min="1301" max="1301" width="12.5703125" style="349" customWidth="1"/>
    <col min="1302" max="1302" width="10.85546875" style="349" customWidth="1"/>
    <col min="1303" max="1303" width="10.28515625" style="349" customWidth="1"/>
    <col min="1304" max="1304" width="12.140625" style="349" customWidth="1"/>
    <col min="1305" max="1306" width="10.28515625" style="349" customWidth="1"/>
    <col min="1307" max="1307" width="10.85546875" style="349" customWidth="1"/>
    <col min="1308" max="1309" width="11.85546875" style="349" customWidth="1"/>
    <col min="1310" max="1539" width="9.140625" style="349"/>
    <col min="1540" max="1540" width="5.85546875" style="349" customWidth="1"/>
    <col min="1541" max="1541" width="26.28515625" style="349" customWidth="1"/>
    <col min="1542" max="1542" width="11.7109375" style="349" customWidth="1"/>
    <col min="1543" max="1543" width="11.28515625" style="349" customWidth="1"/>
    <col min="1544" max="1544" width="10.28515625" style="349" customWidth="1"/>
    <col min="1545" max="1545" width="11.7109375" style="349" customWidth="1"/>
    <col min="1546" max="1546" width="11.140625" style="349" customWidth="1"/>
    <col min="1547" max="1547" width="10.28515625" style="349" customWidth="1"/>
    <col min="1548" max="1548" width="11.85546875" style="349" customWidth="1"/>
    <col min="1549" max="1549" width="10.7109375" style="349" customWidth="1"/>
    <col min="1550" max="1550" width="10.28515625" style="349" customWidth="1"/>
    <col min="1551" max="1551" width="11.28515625" style="349" customWidth="1"/>
    <col min="1552" max="1552" width="10.42578125" style="349" customWidth="1"/>
    <col min="1553" max="1553" width="10.28515625" style="349" customWidth="1"/>
    <col min="1554" max="1554" width="12.5703125" style="349" customWidth="1"/>
    <col min="1555" max="1555" width="10.85546875" style="349" customWidth="1"/>
    <col min="1556" max="1556" width="10.28515625" style="349" customWidth="1"/>
    <col min="1557" max="1557" width="12.5703125" style="349" customWidth="1"/>
    <col min="1558" max="1558" width="10.85546875" style="349" customWidth="1"/>
    <col min="1559" max="1559" width="10.28515625" style="349" customWidth="1"/>
    <col min="1560" max="1560" width="12.140625" style="349" customWidth="1"/>
    <col min="1561" max="1562" width="10.28515625" style="349" customWidth="1"/>
    <col min="1563" max="1563" width="10.85546875" style="349" customWidth="1"/>
    <col min="1564" max="1565" width="11.85546875" style="349" customWidth="1"/>
    <col min="1566" max="1795" width="9.140625" style="349"/>
    <col min="1796" max="1796" width="5.85546875" style="349" customWidth="1"/>
    <col min="1797" max="1797" width="26.28515625" style="349" customWidth="1"/>
    <col min="1798" max="1798" width="11.7109375" style="349" customWidth="1"/>
    <col min="1799" max="1799" width="11.28515625" style="349" customWidth="1"/>
    <col min="1800" max="1800" width="10.28515625" style="349" customWidth="1"/>
    <col min="1801" max="1801" width="11.7109375" style="349" customWidth="1"/>
    <col min="1802" max="1802" width="11.140625" style="349" customWidth="1"/>
    <col min="1803" max="1803" width="10.28515625" style="349" customWidth="1"/>
    <col min="1804" max="1804" width="11.85546875" style="349" customWidth="1"/>
    <col min="1805" max="1805" width="10.7109375" style="349" customWidth="1"/>
    <col min="1806" max="1806" width="10.28515625" style="349" customWidth="1"/>
    <col min="1807" max="1807" width="11.28515625" style="349" customWidth="1"/>
    <col min="1808" max="1808" width="10.42578125" style="349" customWidth="1"/>
    <col min="1809" max="1809" width="10.28515625" style="349" customWidth="1"/>
    <col min="1810" max="1810" width="12.5703125" style="349" customWidth="1"/>
    <col min="1811" max="1811" width="10.85546875" style="349" customWidth="1"/>
    <col min="1812" max="1812" width="10.28515625" style="349" customWidth="1"/>
    <col min="1813" max="1813" width="12.5703125" style="349" customWidth="1"/>
    <col min="1814" max="1814" width="10.85546875" style="349" customWidth="1"/>
    <col min="1815" max="1815" width="10.28515625" style="349" customWidth="1"/>
    <col min="1816" max="1816" width="12.140625" style="349" customWidth="1"/>
    <col min="1817" max="1818" width="10.28515625" style="349" customWidth="1"/>
    <col min="1819" max="1819" width="10.85546875" style="349" customWidth="1"/>
    <col min="1820" max="1821" width="11.85546875" style="349" customWidth="1"/>
    <col min="1822" max="2051" width="9.140625" style="349"/>
    <col min="2052" max="2052" width="5.85546875" style="349" customWidth="1"/>
    <col min="2053" max="2053" width="26.28515625" style="349" customWidth="1"/>
    <col min="2054" max="2054" width="11.7109375" style="349" customWidth="1"/>
    <col min="2055" max="2055" width="11.28515625" style="349" customWidth="1"/>
    <col min="2056" max="2056" width="10.28515625" style="349" customWidth="1"/>
    <col min="2057" max="2057" width="11.7109375" style="349" customWidth="1"/>
    <col min="2058" max="2058" width="11.140625" style="349" customWidth="1"/>
    <col min="2059" max="2059" width="10.28515625" style="349" customWidth="1"/>
    <col min="2060" max="2060" width="11.85546875" style="349" customWidth="1"/>
    <col min="2061" max="2061" width="10.7109375" style="349" customWidth="1"/>
    <col min="2062" max="2062" width="10.28515625" style="349" customWidth="1"/>
    <col min="2063" max="2063" width="11.28515625" style="349" customWidth="1"/>
    <col min="2064" max="2064" width="10.42578125" style="349" customWidth="1"/>
    <col min="2065" max="2065" width="10.28515625" style="349" customWidth="1"/>
    <col min="2066" max="2066" width="12.5703125" style="349" customWidth="1"/>
    <col min="2067" max="2067" width="10.85546875" style="349" customWidth="1"/>
    <col min="2068" max="2068" width="10.28515625" style="349" customWidth="1"/>
    <col min="2069" max="2069" width="12.5703125" style="349" customWidth="1"/>
    <col min="2070" max="2070" width="10.85546875" style="349" customWidth="1"/>
    <col min="2071" max="2071" width="10.28515625" style="349" customWidth="1"/>
    <col min="2072" max="2072" width="12.140625" style="349" customWidth="1"/>
    <col min="2073" max="2074" width="10.28515625" style="349" customWidth="1"/>
    <col min="2075" max="2075" width="10.85546875" style="349" customWidth="1"/>
    <col min="2076" max="2077" width="11.85546875" style="349" customWidth="1"/>
    <col min="2078" max="2307" width="9.140625" style="349"/>
    <col min="2308" max="2308" width="5.85546875" style="349" customWidth="1"/>
    <col min="2309" max="2309" width="26.28515625" style="349" customWidth="1"/>
    <col min="2310" max="2310" width="11.7109375" style="349" customWidth="1"/>
    <col min="2311" max="2311" width="11.28515625" style="349" customWidth="1"/>
    <col min="2312" max="2312" width="10.28515625" style="349" customWidth="1"/>
    <col min="2313" max="2313" width="11.7109375" style="349" customWidth="1"/>
    <col min="2314" max="2314" width="11.140625" style="349" customWidth="1"/>
    <col min="2315" max="2315" width="10.28515625" style="349" customWidth="1"/>
    <col min="2316" max="2316" width="11.85546875" style="349" customWidth="1"/>
    <col min="2317" max="2317" width="10.7109375" style="349" customWidth="1"/>
    <col min="2318" max="2318" width="10.28515625" style="349" customWidth="1"/>
    <col min="2319" max="2319" width="11.28515625" style="349" customWidth="1"/>
    <col min="2320" max="2320" width="10.42578125" style="349" customWidth="1"/>
    <col min="2321" max="2321" width="10.28515625" style="349" customWidth="1"/>
    <col min="2322" max="2322" width="12.5703125" style="349" customWidth="1"/>
    <col min="2323" max="2323" width="10.85546875" style="349" customWidth="1"/>
    <col min="2324" max="2324" width="10.28515625" style="349" customWidth="1"/>
    <col min="2325" max="2325" width="12.5703125" style="349" customWidth="1"/>
    <col min="2326" max="2326" width="10.85546875" style="349" customWidth="1"/>
    <col min="2327" max="2327" width="10.28515625" style="349" customWidth="1"/>
    <col min="2328" max="2328" width="12.140625" style="349" customWidth="1"/>
    <col min="2329" max="2330" width="10.28515625" style="349" customWidth="1"/>
    <col min="2331" max="2331" width="10.85546875" style="349" customWidth="1"/>
    <col min="2332" max="2333" width="11.85546875" style="349" customWidth="1"/>
    <col min="2334" max="2563" width="9.140625" style="349"/>
    <col min="2564" max="2564" width="5.85546875" style="349" customWidth="1"/>
    <col min="2565" max="2565" width="26.28515625" style="349" customWidth="1"/>
    <col min="2566" max="2566" width="11.7109375" style="349" customWidth="1"/>
    <col min="2567" max="2567" width="11.28515625" style="349" customWidth="1"/>
    <col min="2568" max="2568" width="10.28515625" style="349" customWidth="1"/>
    <col min="2569" max="2569" width="11.7109375" style="349" customWidth="1"/>
    <col min="2570" max="2570" width="11.140625" style="349" customWidth="1"/>
    <col min="2571" max="2571" width="10.28515625" style="349" customWidth="1"/>
    <col min="2572" max="2572" width="11.85546875" style="349" customWidth="1"/>
    <col min="2573" max="2573" width="10.7109375" style="349" customWidth="1"/>
    <col min="2574" max="2574" width="10.28515625" style="349" customWidth="1"/>
    <col min="2575" max="2575" width="11.28515625" style="349" customWidth="1"/>
    <col min="2576" max="2576" width="10.42578125" style="349" customWidth="1"/>
    <col min="2577" max="2577" width="10.28515625" style="349" customWidth="1"/>
    <col min="2578" max="2578" width="12.5703125" style="349" customWidth="1"/>
    <col min="2579" max="2579" width="10.85546875" style="349" customWidth="1"/>
    <col min="2580" max="2580" width="10.28515625" style="349" customWidth="1"/>
    <col min="2581" max="2581" width="12.5703125" style="349" customWidth="1"/>
    <col min="2582" max="2582" width="10.85546875" style="349" customWidth="1"/>
    <col min="2583" max="2583" width="10.28515625" style="349" customWidth="1"/>
    <col min="2584" max="2584" width="12.140625" style="349" customWidth="1"/>
    <col min="2585" max="2586" width="10.28515625" style="349" customWidth="1"/>
    <col min="2587" max="2587" width="10.85546875" style="349" customWidth="1"/>
    <col min="2588" max="2589" width="11.85546875" style="349" customWidth="1"/>
    <col min="2590" max="2819" width="9.140625" style="349"/>
    <col min="2820" max="2820" width="5.85546875" style="349" customWidth="1"/>
    <col min="2821" max="2821" width="26.28515625" style="349" customWidth="1"/>
    <col min="2822" max="2822" width="11.7109375" style="349" customWidth="1"/>
    <col min="2823" max="2823" width="11.28515625" style="349" customWidth="1"/>
    <col min="2824" max="2824" width="10.28515625" style="349" customWidth="1"/>
    <col min="2825" max="2825" width="11.7109375" style="349" customWidth="1"/>
    <col min="2826" max="2826" width="11.140625" style="349" customWidth="1"/>
    <col min="2827" max="2827" width="10.28515625" style="349" customWidth="1"/>
    <col min="2828" max="2828" width="11.85546875" style="349" customWidth="1"/>
    <col min="2829" max="2829" width="10.7109375" style="349" customWidth="1"/>
    <col min="2830" max="2830" width="10.28515625" style="349" customWidth="1"/>
    <col min="2831" max="2831" width="11.28515625" style="349" customWidth="1"/>
    <col min="2832" max="2832" width="10.42578125" style="349" customWidth="1"/>
    <col min="2833" max="2833" width="10.28515625" style="349" customWidth="1"/>
    <col min="2834" max="2834" width="12.5703125" style="349" customWidth="1"/>
    <col min="2835" max="2835" width="10.85546875" style="349" customWidth="1"/>
    <col min="2836" max="2836" width="10.28515625" style="349" customWidth="1"/>
    <col min="2837" max="2837" width="12.5703125" style="349" customWidth="1"/>
    <col min="2838" max="2838" width="10.85546875" style="349" customWidth="1"/>
    <col min="2839" max="2839" width="10.28515625" style="349" customWidth="1"/>
    <col min="2840" max="2840" width="12.140625" style="349" customWidth="1"/>
    <col min="2841" max="2842" width="10.28515625" style="349" customWidth="1"/>
    <col min="2843" max="2843" width="10.85546875" style="349" customWidth="1"/>
    <col min="2844" max="2845" width="11.85546875" style="349" customWidth="1"/>
    <col min="2846" max="3075" width="9.140625" style="349"/>
    <col min="3076" max="3076" width="5.85546875" style="349" customWidth="1"/>
    <col min="3077" max="3077" width="26.28515625" style="349" customWidth="1"/>
    <col min="3078" max="3078" width="11.7109375" style="349" customWidth="1"/>
    <col min="3079" max="3079" width="11.28515625" style="349" customWidth="1"/>
    <col min="3080" max="3080" width="10.28515625" style="349" customWidth="1"/>
    <col min="3081" max="3081" width="11.7109375" style="349" customWidth="1"/>
    <col min="3082" max="3082" width="11.140625" style="349" customWidth="1"/>
    <col min="3083" max="3083" width="10.28515625" style="349" customWidth="1"/>
    <col min="3084" max="3084" width="11.85546875" style="349" customWidth="1"/>
    <col min="3085" max="3085" width="10.7109375" style="349" customWidth="1"/>
    <col min="3086" max="3086" width="10.28515625" style="349" customWidth="1"/>
    <col min="3087" max="3087" width="11.28515625" style="349" customWidth="1"/>
    <col min="3088" max="3088" width="10.42578125" style="349" customWidth="1"/>
    <col min="3089" max="3089" width="10.28515625" style="349" customWidth="1"/>
    <col min="3090" max="3090" width="12.5703125" style="349" customWidth="1"/>
    <col min="3091" max="3091" width="10.85546875" style="349" customWidth="1"/>
    <col min="3092" max="3092" width="10.28515625" style="349" customWidth="1"/>
    <col min="3093" max="3093" width="12.5703125" style="349" customWidth="1"/>
    <col min="3094" max="3094" width="10.85546875" style="349" customWidth="1"/>
    <col min="3095" max="3095" width="10.28515625" style="349" customWidth="1"/>
    <col min="3096" max="3096" width="12.140625" style="349" customWidth="1"/>
    <col min="3097" max="3098" width="10.28515625" style="349" customWidth="1"/>
    <col min="3099" max="3099" width="10.85546875" style="349" customWidth="1"/>
    <col min="3100" max="3101" width="11.85546875" style="349" customWidth="1"/>
    <col min="3102" max="3331" width="9.140625" style="349"/>
    <col min="3332" max="3332" width="5.85546875" style="349" customWidth="1"/>
    <col min="3333" max="3333" width="26.28515625" style="349" customWidth="1"/>
    <col min="3334" max="3334" width="11.7109375" style="349" customWidth="1"/>
    <col min="3335" max="3335" width="11.28515625" style="349" customWidth="1"/>
    <col min="3336" max="3336" width="10.28515625" style="349" customWidth="1"/>
    <col min="3337" max="3337" width="11.7109375" style="349" customWidth="1"/>
    <col min="3338" max="3338" width="11.140625" style="349" customWidth="1"/>
    <col min="3339" max="3339" width="10.28515625" style="349" customWidth="1"/>
    <col min="3340" max="3340" width="11.85546875" style="349" customWidth="1"/>
    <col min="3341" max="3341" width="10.7109375" style="349" customWidth="1"/>
    <col min="3342" max="3342" width="10.28515625" style="349" customWidth="1"/>
    <col min="3343" max="3343" width="11.28515625" style="349" customWidth="1"/>
    <col min="3344" max="3344" width="10.42578125" style="349" customWidth="1"/>
    <col min="3345" max="3345" width="10.28515625" style="349" customWidth="1"/>
    <col min="3346" max="3346" width="12.5703125" style="349" customWidth="1"/>
    <col min="3347" max="3347" width="10.85546875" style="349" customWidth="1"/>
    <col min="3348" max="3348" width="10.28515625" style="349" customWidth="1"/>
    <col min="3349" max="3349" width="12.5703125" style="349" customWidth="1"/>
    <col min="3350" max="3350" width="10.85546875" style="349" customWidth="1"/>
    <col min="3351" max="3351" width="10.28515625" style="349" customWidth="1"/>
    <col min="3352" max="3352" width="12.140625" style="349" customWidth="1"/>
    <col min="3353" max="3354" width="10.28515625" style="349" customWidth="1"/>
    <col min="3355" max="3355" width="10.85546875" style="349" customWidth="1"/>
    <col min="3356" max="3357" width="11.85546875" style="349" customWidth="1"/>
    <col min="3358" max="3587" width="9.140625" style="349"/>
    <col min="3588" max="3588" width="5.85546875" style="349" customWidth="1"/>
    <col min="3589" max="3589" width="26.28515625" style="349" customWidth="1"/>
    <col min="3590" max="3590" width="11.7109375" style="349" customWidth="1"/>
    <col min="3591" max="3591" width="11.28515625" style="349" customWidth="1"/>
    <col min="3592" max="3592" width="10.28515625" style="349" customWidth="1"/>
    <col min="3593" max="3593" width="11.7109375" style="349" customWidth="1"/>
    <col min="3594" max="3594" width="11.140625" style="349" customWidth="1"/>
    <col min="3595" max="3595" width="10.28515625" style="349" customWidth="1"/>
    <col min="3596" max="3596" width="11.85546875" style="349" customWidth="1"/>
    <col min="3597" max="3597" width="10.7109375" style="349" customWidth="1"/>
    <col min="3598" max="3598" width="10.28515625" style="349" customWidth="1"/>
    <col min="3599" max="3599" width="11.28515625" style="349" customWidth="1"/>
    <col min="3600" max="3600" width="10.42578125" style="349" customWidth="1"/>
    <col min="3601" max="3601" width="10.28515625" style="349" customWidth="1"/>
    <col min="3602" max="3602" width="12.5703125" style="349" customWidth="1"/>
    <col min="3603" max="3603" width="10.85546875" style="349" customWidth="1"/>
    <col min="3604" max="3604" width="10.28515625" style="349" customWidth="1"/>
    <col min="3605" max="3605" width="12.5703125" style="349" customWidth="1"/>
    <col min="3606" max="3606" width="10.85546875" style="349" customWidth="1"/>
    <col min="3607" max="3607" width="10.28515625" style="349" customWidth="1"/>
    <col min="3608" max="3608" width="12.140625" style="349" customWidth="1"/>
    <col min="3609" max="3610" width="10.28515625" style="349" customWidth="1"/>
    <col min="3611" max="3611" width="10.85546875" style="349" customWidth="1"/>
    <col min="3612" max="3613" width="11.85546875" style="349" customWidth="1"/>
    <col min="3614" max="3843" width="9.140625" style="349"/>
    <col min="3844" max="3844" width="5.85546875" style="349" customWidth="1"/>
    <col min="3845" max="3845" width="26.28515625" style="349" customWidth="1"/>
    <col min="3846" max="3846" width="11.7109375" style="349" customWidth="1"/>
    <col min="3847" max="3847" width="11.28515625" style="349" customWidth="1"/>
    <col min="3848" max="3848" width="10.28515625" style="349" customWidth="1"/>
    <col min="3849" max="3849" width="11.7109375" style="349" customWidth="1"/>
    <col min="3850" max="3850" width="11.140625" style="349" customWidth="1"/>
    <col min="3851" max="3851" width="10.28515625" style="349" customWidth="1"/>
    <col min="3852" max="3852" width="11.85546875" style="349" customWidth="1"/>
    <col min="3853" max="3853" width="10.7109375" style="349" customWidth="1"/>
    <col min="3854" max="3854" width="10.28515625" style="349" customWidth="1"/>
    <col min="3855" max="3855" width="11.28515625" style="349" customWidth="1"/>
    <col min="3856" max="3856" width="10.42578125" style="349" customWidth="1"/>
    <col min="3857" max="3857" width="10.28515625" style="349" customWidth="1"/>
    <col min="3858" max="3858" width="12.5703125" style="349" customWidth="1"/>
    <col min="3859" max="3859" width="10.85546875" style="349" customWidth="1"/>
    <col min="3860" max="3860" width="10.28515625" style="349" customWidth="1"/>
    <col min="3861" max="3861" width="12.5703125" style="349" customWidth="1"/>
    <col min="3862" max="3862" width="10.85546875" style="349" customWidth="1"/>
    <col min="3863" max="3863" width="10.28515625" style="349" customWidth="1"/>
    <col min="3864" max="3864" width="12.140625" style="349" customWidth="1"/>
    <col min="3865" max="3866" width="10.28515625" style="349" customWidth="1"/>
    <col min="3867" max="3867" width="10.85546875" style="349" customWidth="1"/>
    <col min="3868" max="3869" width="11.85546875" style="349" customWidth="1"/>
    <col min="3870" max="4099" width="9.140625" style="349"/>
    <col min="4100" max="4100" width="5.85546875" style="349" customWidth="1"/>
    <col min="4101" max="4101" width="26.28515625" style="349" customWidth="1"/>
    <col min="4102" max="4102" width="11.7109375" style="349" customWidth="1"/>
    <col min="4103" max="4103" width="11.28515625" style="349" customWidth="1"/>
    <col min="4104" max="4104" width="10.28515625" style="349" customWidth="1"/>
    <col min="4105" max="4105" width="11.7109375" style="349" customWidth="1"/>
    <col min="4106" max="4106" width="11.140625" style="349" customWidth="1"/>
    <col min="4107" max="4107" width="10.28515625" style="349" customWidth="1"/>
    <col min="4108" max="4108" width="11.85546875" style="349" customWidth="1"/>
    <col min="4109" max="4109" width="10.7109375" style="349" customWidth="1"/>
    <col min="4110" max="4110" width="10.28515625" style="349" customWidth="1"/>
    <col min="4111" max="4111" width="11.28515625" style="349" customWidth="1"/>
    <col min="4112" max="4112" width="10.42578125" style="349" customWidth="1"/>
    <col min="4113" max="4113" width="10.28515625" style="349" customWidth="1"/>
    <col min="4114" max="4114" width="12.5703125" style="349" customWidth="1"/>
    <col min="4115" max="4115" width="10.85546875" style="349" customWidth="1"/>
    <col min="4116" max="4116" width="10.28515625" style="349" customWidth="1"/>
    <col min="4117" max="4117" width="12.5703125" style="349" customWidth="1"/>
    <col min="4118" max="4118" width="10.85546875" style="349" customWidth="1"/>
    <col min="4119" max="4119" width="10.28515625" style="349" customWidth="1"/>
    <col min="4120" max="4120" width="12.140625" style="349" customWidth="1"/>
    <col min="4121" max="4122" width="10.28515625" style="349" customWidth="1"/>
    <col min="4123" max="4123" width="10.85546875" style="349" customWidth="1"/>
    <col min="4124" max="4125" width="11.85546875" style="349" customWidth="1"/>
    <col min="4126" max="4355" width="9.140625" style="349"/>
    <col min="4356" max="4356" width="5.85546875" style="349" customWidth="1"/>
    <col min="4357" max="4357" width="26.28515625" style="349" customWidth="1"/>
    <col min="4358" max="4358" width="11.7109375" style="349" customWidth="1"/>
    <col min="4359" max="4359" width="11.28515625" style="349" customWidth="1"/>
    <col min="4360" max="4360" width="10.28515625" style="349" customWidth="1"/>
    <col min="4361" max="4361" width="11.7109375" style="349" customWidth="1"/>
    <col min="4362" max="4362" width="11.140625" style="349" customWidth="1"/>
    <col min="4363" max="4363" width="10.28515625" style="349" customWidth="1"/>
    <col min="4364" max="4364" width="11.85546875" style="349" customWidth="1"/>
    <col min="4365" max="4365" width="10.7109375" style="349" customWidth="1"/>
    <col min="4366" max="4366" width="10.28515625" style="349" customWidth="1"/>
    <col min="4367" max="4367" width="11.28515625" style="349" customWidth="1"/>
    <col min="4368" max="4368" width="10.42578125" style="349" customWidth="1"/>
    <col min="4369" max="4369" width="10.28515625" style="349" customWidth="1"/>
    <col min="4370" max="4370" width="12.5703125" style="349" customWidth="1"/>
    <col min="4371" max="4371" width="10.85546875" style="349" customWidth="1"/>
    <col min="4372" max="4372" width="10.28515625" style="349" customWidth="1"/>
    <col min="4373" max="4373" width="12.5703125" style="349" customWidth="1"/>
    <col min="4374" max="4374" width="10.85546875" style="349" customWidth="1"/>
    <col min="4375" max="4375" width="10.28515625" style="349" customWidth="1"/>
    <col min="4376" max="4376" width="12.140625" style="349" customWidth="1"/>
    <col min="4377" max="4378" width="10.28515625" style="349" customWidth="1"/>
    <col min="4379" max="4379" width="10.85546875" style="349" customWidth="1"/>
    <col min="4380" max="4381" width="11.85546875" style="349" customWidth="1"/>
    <col min="4382" max="4611" width="9.140625" style="349"/>
    <col min="4612" max="4612" width="5.85546875" style="349" customWidth="1"/>
    <col min="4613" max="4613" width="26.28515625" style="349" customWidth="1"/>
    <col min="4614" max="4614" width="11.7109375" style="349" customWidth="1"/>
    <col min="4615" max="4615" width="11.28515625" style="349" customWidth="1"/>
    <col min="4616" max="4616" width="10.28515625" style="349" customWidth="1"/>
    <col min="4617" max="4617" width="11.7109375" style="349" customWidth="1"/>
    <col min="4618" max="4618" width="11.140625" style="349" customWidth="1"/>
    <col min="4619" max="4619" width="10.28515625" style="349" customWidth="1"/>
    <col min="4620" max="4620" width="11.85546875" style="349" customWidth="1"/>
    <col min="4621" max="4621" width="10.7109375" style="349" customWidth="1"/>
    <col min="4622" max="4622" width="10.28515625" style="349" customWidth="1"/>
    <col min="4623" max="4623" width="11.28515625" style="349" customWidth="1"/>
    <col min="4624" max="4624" width="10.42578125" style="349" customWidth="1"/>
    <col min="4625" max="4625" width="10.28515625" style="349" customWidth="1"/>
    <col min="4626" max="4626" width="12.5703125" style="349" customWidth="1"/>
    <col min="4627" max="4627" width="10.85546875" style="349" customWidth="1"/>
    <col min="4628" max="4628" width="10.28515625" style="349" customWidth="1"/>
    <col min="4629" max="4629" width="12.5703125" style="349" customWidth="1"/>
    <col min="4630" max="4630" width="10.85546875" style="349" customWidth="1"/>
    <col min="4631" max="4631" width="10.28515625" style="349" customWidth="1"/>
    <col min="4632" max="4632" width="12.140625" style="349" customWidth="1"/>
    <col min="4633" max="4634" width="10.28515625" style="349" customWidth="1"/>
    <col min="4635" max="4635" width="10.85546875" style="349" customWidth="1"/>
    <col min="4636" max="4637" width="11.85546875" style="349" customWidth="1"/>
    <col min="4638" max="4867" width="9.140625" style="349"/>
    <col min="4868" max="4868" width="5.85546875" style="349" customWidth="1"/>
    <col min="4869" max="4869" width="26.28515625" style="349" customWidth="1"/>
    <col min="4870" max="4870" width="11.7109375" style="349" customWidth="1"/>
    <col min="4871" max="4871" width="11.28515625" style="349" customWidth="1"/>
    <col min="4872" max="4872" width="10.28515625" style="349" customWidth="1"/>
    <col min="4873" max="4873" width="11.7109375" style="349" customWidth="1"/>
    <col min="4874" max="4874" width="11.140625" style="349" customWidth="1"/>
    <col min="4875" max="4875" width="10.28515625" style="349" customWidth="1"/>
    <col min="4876" max="4876" width="11.85546875" style="349" customWidth="1"/>
    <col min="4877" max="4877" width="10.7109375" style="349" customWidth="1"/>
    <col min="4878" max="4878" width="10.28515625" style="349" customWidth="1"/>
    <col min="4879" max="4879" width="11.28515625" style="349" customWidth="1"/>
    <col min="4880" max="4880" width="10.42578125" style="349" customWidth="1"/>
    <col min="4881" max="4881" width="10.28515625" style="349" customWidth="1"/>
    <col min="4882" max="4882" width="12.5703125" style="349" customWidth="1"/>
    <col min="4883" max="4883" width="10.85546875" style="349" customWidth="1"/>
    <col min="4884" max="4884" width="10.28515625" style="349" customWidth="1"/>
    <col min="4885" max="4885" width="12.5703125" style="349" customWidth="1"/>
    <col min="4886" max="4886" width="10.85546875" style="349" customWidth="1"/>
    <col min="4887" max="4887" width="10.28515625" style="349" customWidth="1"/>
    <col min="4888" max="4888" width="12.140625" style="349" customWidth="1"/>
    <col min="4889" max="4890" width="10.28515625" style="349" customWidth="1"/>
    <col min="4891" max="4891" width="10.85546875" style="349" customWidth="1"/>
    <col min="4892" max="4893" width="11.85546875" style="349" customWidth="1"/>
    <col min="4894" max="5123" width="9.140625" style="349"/>
    <col min="5124" max="5124" width="5.85546875" style="349" customWidth="1"/>
    <col min="5125" max="5125" width="26.28515625" style="349" customWidth="1"/>
    <col min="5126" max="5126" width="11.7109375" style="349" customWidth="1"/>
    <col min="5127" max="5127" width="11.28515625" style="349" customWidth="1"/>
    <col min="5128" max="5128" width="10.28515625" style="349" customWidth="1"/>
    <col min="5129" max="5129" width="11.7109375" style="349" customWidth="1"/>
    <col min="5130" max="5130" width="11.140625" style="349" customWidth="1"/>
    <col min="5131" max="5131" width="10.28515625" style="349" customWidth="1"/>
    <col min="5132" max="5132" width="11.85546875" style="349" customWidth="1"/>
    <col min="5133" max="5133" width="10.7109375" style="349" customWidth="1"/>
    <col min="5134" max="5134" width="10.28515625" style="349" customWidth="1"/>
    <col min="5135" max="5135" width="11.28515625" style="349" customWidth="1"/>
    <col min="5136" max="5136" width="10.42578125" style="349" customWidth="1"/>
    <col min="5137" max="5137" width="10.28515625" style="349" customWidth="1"/>
    <col min="5138" max="5138" width="12.5703125" style="349" customWidth="1"/>
    <col min="5139" max="5139" width="10.85546875" style="349" customWidth="1"/>
    <col min="5140" max="5140" width="10.28515625" style="349" customWidth="1"/>
    <col min="5141" max="5141" width="12.5703125" style="349" customWidth="1"/>
    <col min="5142" max="5142" width="10.85546875" style="349" customWidth="1"/>
    <col min="5143" max="5143" width="10.28515625" style="349" customWidth="1"/>
    <col min="5144" max="5144" width="12.140625" style="349" customWidth="1"/>
    <col min="5145" max="5146" width="10.28515625" style="349" customWidth="1"/>
    <col min="5147" max="5147" width="10.85546875" style="349" customWidth="1"/>
    <col min="5148" max="5149" width="11.85546875" style="349" customWidth="1"/>
    <col min="5150" max="5379" width="9.140625" style="349"/>
    <col min="5380" max="5380" width="5.85546875" style="349" customWidth="1"/>
    <col min="5381" max="5381" width="26.28515625" style="349" customWidth="1"/>
    <col min="5382" max="5382" width="11.7109375" style="349" customWidth="1"/>
    <col min="5383" max="5383" width="11.28515625" style="349" customWidth="1"/>
    <col min="5384" max="5384" width="10.28515625" style="349" customWidth="1"/>
    <col min="5385" max="5385" width="11.7109375" style="349" customWidth="1"/>
    <col min="5386" max="5386" width="11.140625" style="349" customWidth="1"/>
    <col min="5387" max="5387" width="10.28515625" style="349" customWidth="1"/>
    <col min="5388" max="5388" width="11.85546875" style="349" customWidth="1"/>
    <col min="5389" max="5389" width="10.7109375" style="349" customWidth="1"/>
    <col min="5390" max="5390" width="10.28515625" style="349" customWidth="1"/>
    <col min="5391" max="5391" width="11.28515625" style="349" customWidth="1"/>
    <col min="5392" max="5392" width="10.42578125" style="349" customWidth="1"/>
    <col min="5393" max="5393" width="10.28515625" style="349" customWidth="1"/>
    <col min="5394" max="5394" width="12.5703125" style="349" customWidth="1"/>
    <col min="5395" max="5395" width="10.85546875" style="349" customWidth="1"/>
    <col min="5396" max="5396" width="10.28515625" style="349" customWidth="1"/>
    <col min="5397" max="5397" width="12.5703125" style="349" customWidth="1"/>
    <col min="5398" max="5398" width="10.85546875" style="349" customWidth="1"/>
    <col min="5399" max="5399" width="10.28515625" style="349" customWidth="1"/>
    <col min="5400" max="5400" width="12.140625" style="349" customWidth="1"/>
    <col min="5401" max="5402" width="10.28515625" style="349" customWidth="1"/>
    <col min="5403" max="5403" width="10.85546875" style="349" customWidth="1"/>
    <col min="5404" max="5405" width="11.85546875" style="349" customWidth="1"/>
    <col min="5406" max="5635" width="9.140625" style="349"/>
    <col min="5636" max="5636" width="5.85546875" style="349" customWidth="1"/>
    <col min="5637" max="5637" width="26.28515625" style="349" customWidth="1"/>
    <col min="5638" max="5638" width="11.7109375" style="349" customWidth="1"/>
    <col min="5639" max="5639" width="11.28515625" style="349" customWidth="1"/>
    <col min="5640" max="5640" width="10.28515625" style="349" customWidth="1"/>
    <col min="5641" max="5641" width="11.7109375" style="349" customWidth="1"/>
    <col min="5642" max="5642" width="11.140625" style="349" customWidth="1"/>
    <col min="5643" max="5643" width="10.28515625" style="349" customWidth="1"/>
    <col min="5644" max="5644" width="11.85546875" style="349" customWidth="1"/>
    <col min="5645" max="5645" width="10.7109375" style="349" customWidth="1"/>
    <col min="5646" max="5646" width="10.28515625" style="349" customWidth="1"/>
    <col min="5647" max="5647" width="11.28515625" style="349" customWidth="1"/>
    <col min="5648" max="5648" width="10.42578125" style="349" customWidth="1"/>
    <col min="5649" max="5649" width="10.28515625" style="349" customWidth="1"/>
    <col min="5650" max="5650" width="12.5703125" style="349" customWidth="1"/>
    <col min="5651" max="5651" width="10.85546875" style="349" customWidth="1"/>
    <col min="5652" max="5652" width="10.28515625" style="349" customWidth="1"/>
    <col min="5653" max="5653" width="12.5703125" style="349" customWidth="1"/>
    <col min="5654" max="5654" width="10.85546875" style="349" customWidth="1"/>
    <col min="5655" max="5655" width="10.28515625" style="349" customWidth="1"/>
    <col min="5656" max="5656" width="12.140625" style="349" customWidth="1"/>
    <col min="5657" max="5658" width="10.28515625" style="349" customWidth="1"/>
    <col min="5659" max="5659" width="10.85546875" style="349" customWidth="1"/>
    <col min="5660" max="5661" width="11.85546875" style="349" customWidth="1"/>
    <col min="5662" max="5891" width="9.140625" style="349"/>
    <col min="5892" max="5892" width="5.85546875" style="349" customWidth="1"/>
    <col min="5893" max="5893" width="26.28515625" style="349" customWidth="1"/>
    <col min="5894" max="5894" width="11.7109375" style="349" customWidth="1"/>
    <col min="5895" max="5895" width="11.28515625" style="349" customWidth="1"/>
    <col min="5896" max="5896" width="10.28515625" style="349" customWidth="1"/>
    <col min="5897" max="5897" width="11.7109375" style="349" customWidth="1"/>
    <col min="5898" max="5898" width="11.140625" style="349" customWidth="1"/>
    <col min="5899" max="5899" width="10.28515625" style="349" customWidth="1"/>
    <col min="5900" max="5900" width="11.85546875" style="349" customWidth="1"/>
    <col min="5901" max="5901" width="10.7109375" style="349" customWidth="1"/>
    <col min="5902" max="5902" width="10.28515625" style="349" customWidth="1"/>
    <col min="5903" max="5903" width="11.28515625" style="349" customWidth="1"/>
    <col min="5904" max="5904" width="10.42578125" style="349" customWidth="1"/>
    <col min="5905" max="5905" width="10.28515625" style="349" customWidth="1"/>
    <col min="5906" max="5906" width="12.5703125" style="349" customWidth="1"/>
    <col min="5907" max="5907" width="10.85546875" style="349" customWidth="1"/>
    <col min="5908" max="5908" width="10.28515625" style="349" customWidth="1"/>
    <col min="5909" max="5909" width="12.5703125" style="349" customWidth="1"/>
    <col min="5910" max="5910" width="10.85546875" style="349" customWidth="1"/>
    <col min="5911" max="5911" width="10.28515625" style="349" customWidth="1"/>
    <col min="5912" max="5912" width="12.140625" style="349" customWidth="1"/>
    <col min="5913" max="5914" width="10.28515625" style="349" customWidth="1"/>
    <col min="5915" max="5915" width="10.85546875" style="349" customWidth="1"/>
    <col min="5916" max="5917" width="11.85546875" style="349" customWidth="1"/>
    <col min="5918" max="6147" width="9.140625" style="349"/>
    <col min="6148" max="6148" width="5.85546875" style="349" customWidth="1"/>
    <col min="6149" max="6149" width="26.28515625" style="349" customWidth="1"/>
    <col min="6150" max="6150" width="11.7109375" style="349" customWidth="1"/>
    <col min="6151" max="6151" width="11.28515625" style="349" customWidth="1"/>
    <col min="6152" max="6152" width="10.28515625" style="349" customWidth="1"/>
    <col min="6153" max="6153" width="11.7109375" style="349" customWidth="1"/>
    <col min="6154" max="6154" width="11.140625" style="349" customWidth="1"/>
    <col min="6155" max="6155" width="10.28515625" style="349" customWidth="1"/>
    <col min="6156" max="6156" width="11.85546875" style="349" customWidth="1"/>
    <col min="6157" max="6157" width="10.7109375" style="349" customWidth="1"/>
    <col min="6158" max="6158" width="10.28515625" style="349" customWidth="1"/>
    <col min="6159" max="6159" width="11.28515625" style="349" customWidth="1"/>
    <col min="6160" max="6160" width="10.42578125" style="349" customWidth="1"/>
    <col min="6161" max="6161" width="10.28515625" style="349" customWidth="1"/>
    <col min="6162" max="6162" width="12.5703125" style="349" customWidth="1"/>
    <col min="6163" max="6163" width="10.85546875" style="349" customWidth="1"/>
    <col min="6164" max="6164" width="10.28515625" style="349" customWidth="1"/>
    <col min="6165" max="6165" width="12.5703125" style="349" customWidth="1"/>
    <col min="6166" max="6166" width="10.85546875" style="349" customWidth="1"/>
    <col min="6167" max="6167" width="10.28515625" style="349" customWidth="1"/>
    <col min="6168" max="6168" width="12.140625" style="349" customWidth="1"/>
    <col min="6169" max="6170" width="10.28515625" style="349" customWidth="1"/>
    <col min="6171" max="6171" width="10.85546875" style="349" customWidth="1"/>
    <col min="6172" max="6173" width="11.85546875" style="349" customWidth="1"/>
    <col min="6174" max="6403" width="9.140625" style="349"/>
    <col min="6404" max="6404" width="5.85546875" style="349" customWidth="1"/>
    <col min="6405" max="6405" width="26.28515625" style="349" customWidth="1"/>
    <col min="6406" max="6406" width="11.7109375" style="349" customWidth="1"/>
    <col min="6407" max="6407" width="11.28515625" style="349" customWidth="1"/>
    <col min="6408" max="6408" width="10.28515625" style="349" customWidth="1"/>
    <col min="6409" max="6409" width="11.7109375" style="349" customWidth="1"/>
    <col min="6410" max="6410" width="11.140625" style="349" customWidth="1"/>
    <col min="6411" max="6411" width="10.28515625" style="349" customWidth="1"/>
    <col min="6412" max="6412" width="11.85546875" style="349" customWidth="1"/>
    <col min="6413" max="6413" width="10.7109375" style="349" customWidth="1"/>
    <col min="6414" max="6414" width="10.28515625" style="349" customWidth="1"/>
    <col min="6415" max="6415" width="11.28515625" style="349" customWidth="1"/>
    <col min="6416" max="6416" width="10.42578125" style="349" customWidth="1"/>
    <col min="6417" max="6417" width="10.28515625" style="349" customWidth="1"/>
    <col min="6418" max="6418" width="12.5703125" style="349" customWidth="1"/>
    <col min="6419" max="6419" width="10.85546875" style="349" customWidth="1"/>
    <col min="6420" max="6420" width="10.28515625" style="349" customWidth="1"/>
    <col min="6421" max="6421" width="12.5703125" style="349" customWidth="1"/>
    <col min="6422" max="6422" width="10.85546875" style="349" customWidth="1"/>
    <col min="6423" max="6423" width="10.28515625" style="349" customWidth="1"/>
    <col min="6424" max="6424" width="12.140625" style="349" customWidth="1"/>
    <col min="6425" max="6426" width="10.28515625" style="349" customWidth="1"/>
    <col min="6427" max="6427" width="10.85546875" style="349" customWidth="1"/>
    <col min="6428" max="6429" width="11.85546875" style="349" customWidth="1"/>
    <col min="6430" max="6659" width="9.140625" style="349"/>
    <col min="6660" max="6660" width="5.85546875" style="349" customWidth="1"/>
    <col min="6661" max="6661" width="26.28515625" style="349" customWidth="1"/>
    <col min="6662" max="6662" width="11.7109375" style="349" customWidth="1"/>
    <col min="6663" max="6663" width="11.28515625" style="349" customWidth="1"/>
    <col min="6664" max="6664" width="10.28515625" style="349" customWidth="1"/>
    <col min="6665" max="6665" width="11.7109375" style="349" customWidth="1"/>
    <col min="6666" max="6666" width="11.140625" style="349" customWidth="1"/>
    <col min="6667" max="6667" width="10.28515625" style="349" customWidth="1"/>
    <col min="6668" max="6668" width="11.85546875" style="349" customWidth="1"/>
    <col min="6669" max="6669" width="10.7109375" style="349" customWidth="1"/>
    <col min="6670" max="6670" width="10.28515625" style="349" customWidth="1"/>
    <col min="6671" max="6671" width="11.28515625" style="349" customWidth="1"/>
    <col min="6672" max="6672" width="10.42578125" style="349" customWidth="1"/>
    <col min="6673" max="6673" width="10.28515625" style="349" customWidth="1"/>
    <col min="6674" max="6674" width="12.5703125" style="349" customWidth="1"/>
    <col min="6675" max="6675" width="10.85546875" style="349" customWidth="1"/>
    <col min="6676" max="6676" width="10.28515625" style="349" customWidth="1"/>
    <col min="6677" max="6677" width="12.5703125" style="349" customWidth="1"/>
    <col min="6678" max="6678" width="10.85546875" style="349" customWidth="1"/>
    <col min="6679" max="6679" width="10.28515625" style="349" customWidth="1"/>
    <col min="6680" max="6680" width="12.140625" style="349" customWidth="1"/>
    <col min="6681" max="6682" width="10.28515625" style="349" customWidth="1"/>
    <col min="6683" max="6683" width="10.85546875" style="349" customWidth="1"/>
    <col min="6684" max="6685" width="11.85546875" style="349" customWidth="1"/>
    <col min="6686" max="6915" width="9.140625" style="349"/>
    <col min="6916" max="6916" width="5.85546875" style="349" customWidth="1"/>
    <col min="6917" max="6917" width="26.28515625" style="349" customWidth="1"/>
    <col min="6918" max="6918" width="11.7109375" style="349" customWidth="1"/>
    <col min="6919" max="6919" width="11.28515625" style="349" customWidth="1"/>
    <col min="6920" max="6920" width="10.28515625" style="349" customWidth="1"/>
    <col min="6921" max="6921" width="11.7109375" style="349" customWidth="1"/>
    <col min="6922" max="6922" width="11.140625" style="349" customWidth="1"/>
    <col min="6923" max="6923" width="10.28515625" style="349" customWidth="1"/>
    <col min="6924" max="6924" width="11.85546875" style="349" customWidth="1"/>
    <col min="6925" max="6925" width="10.7109375" style="349" customWidth="1"/>
    <col min="6926" max="6926" width="10.28515625" style="349" customWidth="1"/>
    <col min="6927" max="6927" width="11.28515625" style="349" customWidth="1"/>
    <col min="6928" max="6928" width="10.42578125" style="349" customWidth="1"/>
    <col min="6929" max="6929" width="10.28515625" style="349" customWidth="1"/>
    <col min="6930" max="6930" width="12.5703125" style="349" customWidth="1"/>
    <col min="6931" max="6931" width="10.85546875" style="349" customWidth="1"/>
    <col min="6932" max="6932" width="10.28515625" style="349" customWidth="1"/>
    <col min="6933" max="6933" width="12.5703125" style="349" customWidth="1"/>
    <col min="6934" max="6934" width="10.85546875" style="349" customWidth="1"/>
    <col min="6935" max="6935" width="10.28515625" style="349" customWidth="1"/>
    <col min="6936" max="6936" width="12.140625" style="349" customWidth="1"/>
    <col min="6937" max="6938" width="10.28515625" style="349" customWidth="1"/>
    <col min="6939" max="6939" width="10.85546875" style="349" customWidth="1"/>
    <col min="6940" max="6941" width="11.85546875" style="349" customWidth="1"/>
    <col min="6942" max="7171" width="9.140625" style="349"/>
    <col min="7172" max="7172" width="5.85546875" style="349" customWidth="1"/>
    <col min="7173" max="7173" width="26.28515625" style="349" customWidth="1"/>
    <col min="7174" max="7174" width="11.7109375" style="349" customWidth="1"/>
    <col min="7175" max="7175" width="11.28515625" style="349" customWidth="1"/>
    <col min="7176" max="7176" width="10.28515625" style="349" customWidth="1"/>
    <col min="7177" max="7177" width="11.7109375" style="349" customWidth="1"/>
    <col min="7178" max="7178" width="11.140625" style="349" customWidth="1"/>
    <col min="7179" max="7179" width="10.28515625" style="349" customWidth="1"/>
    <col min="7180" max="7180" width="11.85546875" style="349" customWidth="1"/>
    <col min="7181" max="7181" width="10.7109375" style="349" customWidth="1"/>
    <col min="7182" max="7182" width="10.28515625" style="349" customWidth="1"/>
    <col min="7183" max="7183" width="11.28515625" style="349" customWidth="1"/>
    <col min="7184" max="7184" width="10.42578125" style="349" customWidth="1"/>
    <col min="7185" max="7185" width="10.28515625" style="349" customWidth="1"/>
    <col min="7186" max="7186" width="12.5703125" style="349" customWidth="1"/>
    <col min="7187" max="7187" width="10.85546875" style="349" customWidth="1"/>
    <col min="7188" max="7188" width="10.28515625" style="349" customWidth="1"/>
    <col min="7189" max="7189" width="12.5703125" style="349" customWidth="1"/>
    <col min="7190" max="7190" width="10.85546875" style="349" customWidth="1"/>
    <col min="7191" max="7191" width="10.28515625" style="349" customWidth="1"/>
    <col min="7192" max="7192" width="12.140625" style="349" customWidth="1"/>
    <col min="7193" max="7194" width="10.28515625" style="349" customWidth="1"/>
    <col min="7195" max="7195" width="10.85546875" style="349" customWidth="1"/>
    <col min="7196" max="7197" width="11.85546875" style="349" customWidth="1"/>
    <col min="7198" max="7427" width="9.140625" style="349"/>
    <col min="7428" max="7428" width="5.85546875" style="349" customWidth="1"/>
    <col min="7429" max="7429" width="26.28515625" style="349" customWidth="1"/>
    <col min="7430" max="7430" width="11.7109375" style="349" customWidth="1"/>
    <col min="7431" max="7431" width="11.28515625" style="349" customWidth="1"/>
    <col min="7432" max="7432" width="10.28515625" style="349" customWidth="1"/>
    <col min="7433" max="7433" width="11.7109375" style="349" customWidth="1"/>
    <col min="7434" max="7434" width="11.140625" style="349" customWidth="1"/>
    <col min="7435" max="7435" width="10.28515625" style="349" customWidth="1"/>
    <col min="7436" max="7436" width="11.85546875" style="349" customWidth="1"/>
    <col min="7437" max="7437" width="10.7109375" style="349" customWidth="1"/>
    <col min="7438" max="7438" width="10.28515625" style="349" customWidth="1"/>
    <col min="7439" max="7439" width="11.28515625" style="349" customWidth="1"/>
    <col min="7440" max="7440" width="10.42578125" style="349" customWidth="1"/>
    <col min="7441" max="7441" width="10.28515625" style="349" customWidth="1"/>
    <col min="7442" max="7442" width="12.5703125" style="349" customWidth="1"/>
    <col min="7443" max="7443" width="10.85546875" style="349" customWidth="1"/>
    <col min="7444" max="7444" width="10.28515625" style="349" customWidth="1"/>
    <col min="7445" max="7445" width="12.5703125" style="349" customWidth="1"/>
    <col min="7446" max="7446" width="10.85546875" style="349" customWidth="1"/>
    <col min="7447" max="7447" width="10.28515625" style="349" customWidth="1"/>
    <col min="7448" max="7448" width="12.140625" style="349" customWidth="1"/>
    <col min="7449" max="7450" width="10.28515625" style="349" customWidth="1"/>
    <col min="7451" max="7451" width="10.85546875" style="349" customWidth="1"/>
    <col min="7452" max="7453" width="11.85546875" style="349" customWidth="1"/>
    <col min="7454" max="7683" width="9.140625" style="349"/>
    <col min="7684" max="7684" width="5.85546875" style="349" customWidth="1"/>
    <col min="7685" max="7685" width="26.28515625" style="349" customWidth="1"/>
    <col min="7686" max="7686" width="11.7109375" style="349" customWidth="1"/>
    <col min="7687" max="7687" width="11.28515625" style="349" customWidth="1"/>
    <col min="7688" max="7688" width="10.28515625" style="349" customWidth="1"/>
    <col min="7689" max="7689" width="11.7109375" style="349" customWidth="1"/>
    <col min="7690" max="7690" width="11.140625" style="349" customWidth="1"/>
    <col min="7691" max="7691" width="10.28515625" style="349" customWidth="1"/>
    <col min="7692" max="7692" width="11.85546875" style="349" customWidth="1"/>
    <col min="7693" max="7693" width="10.7109375" style="349" customWidth="1"/>
    <col min="7694" max="7694" width="10.28515625" style="349" customWidth="1"/>
    <col min="7695" max="7695" width="11.28515625" style="349" customWidth="1"/>
    <col min="7696" max="7696" width="10.42578125" style="349" customWidth="1"/>
    <col min="7697" max="7697" width="10.28515625" style="349" customWidth="1"/>
    <col min="7698" max="7698" width="12.5703125" style="349" customWidth="1"/>
    <col min="7699" max="7699" width="10.85546875" style="349" customWidth="1"/>
    <col min="7700" max="7700" width="10.28515625" style="349" customWidth="1"/>
    <col min="7701" max="7701" width="12.5703125" style="349" customWidth="1"/>
    <col min="7702" max="7702" width="10.85546875" style="349" customWidth="1"/>
    <col min="7703" max="7703" width="10.28515625" style="349" customWidth="1"/>
    <col min="7704" max="7704" width="12.140625" style="349" customWidth="1"/>
    <col min="7705" max="7706" width="10.28515625" style="349" customWidth="1"/>
    <col min="7707" max="7707" width="10.85546875" style="349" customWidth="1"/>
    <col min="7708" max="7709" width="11.85546875" style="349" customWidth="1"/>
    <col min="7710" max="7939" width="9.140625" style="349"/>
    <col min="7940" max="7940" width="5.85546875" style="349" customWidth="1"/>
    <col min="7941" max="7941" width="26.28515625" style="349" customWidth="1"/>
    <col min="7942" max="7942" width="11.7109375" style="349" customWidth="1"/>
    <col min="7943" max="7943" width="11.28515625" style="349" customWidth="1"/>
    <col min="7944" max="7944" width="10.28515625" style="349" customWidth="1"/>
    <col min="7945" max="7945" width="11.7109375" style="349" customWidth="1"/>
    <col min="7946" max="7946" width="11.140625" style="349" customWidth="1"/>
    <col min="7947" max="7947" width="10.28515625" style="349" customWidth="1"/>
    <col min="7948" max="7948" width="11.85546875" style="349" customWidth="1"/>
    <col min="7949" max="7949" width="10.7109375" style="349" customWidth="1"/>
    <col min="7950" max="7950" width="10.28515625" style="349" customWidth="1"/>
    <col min="7951" max="7951" width="11.28515625" style="349" customWidth="1"/>
    <col min="7952" max="7952" width="10.42578125" style="349" customWidth="1"/>
    <col min="7953" max="7953" width="10.28515625" style="349" customWidth="1"/>
    <col min="7954" max="7954" width="12.5703125" style="349" customWidth="1"/>
    <col min="7955" max="7955" width="10.85546875" style="349" customWidth="1"/>
    <col min="7956" max="7956" width="10.28515625" style="349" customWidth="1"/>
    <col min="7957" max="7957" width="12.5703125" style="349" customWidth="1"/>
    <col min="7958" max="7958" width="10.85546875" style="349" customWidth="1"/>
    <col min="7959" max="7959" width="10.28515625" style="349" customWidth="1"/>
    <col min="7960" max="7960" width="12.140625" style="349" customWidth="1"/>
    <col min="7961" max="7962" width="10.28515625" style="349" customWidth="1"/>
    <col min="7963" max="7963" width="10.85546875" style="349" customWidth="1"/>
    <col min="7964" max="7965" width="11.85546875" style="349" customWidth="1"/>
    <col min="7966" max="8195" width="9.140625" style="349"/>
    <col min="8196" max="8196" width="5.85546875" style="349" customWidth="1"/>
    <col min="8197" max="8197" width="26.28515625" style="349" customWidth="1"/>
    <col min="8198" max="8198" width="11.7109375" style="349" customWidth="1"/>
    <col min="8199" max="8199" width="11.28515625" style="349" customWidth="1"/>
    <col min="8200" max="8200" width="10.28515625" style="349" customWidth="1"/>
    <col min="8201" max="8201" width="11.7109375" style="349" customWidth="1"/>
    <col min="8202" max="8202" width="11.140625" style="349" customWidth="1"/>
    <col min="8203" max="8203" width="10.28515625" style="349" customWidth="1"/>
    <col min="8204" max="8204" width="11.85546875" style="349" customWidth="1"/>
    <col min="8205" max="8205" width="10.7109375" style="349" customWidth="1"/>
    <col min="8206" max="8206" width="10.28515625" style="349" customWidth="1"/>
    <col min="8207" max="8207" width="11.28515625" style="349" customWidth="1"/>
    <col min="8208" max="8208" width="10.42578125" style="349" customWidth="1"/>
    <col min="8209" max="8209" width="10.28515625" style="349" customWidth="1"/>
    <col min="8210" max="8210" width="12.5703125" style="349" customWidth="1"/>
    <col min="8211" max="8211" width="10.85546875" style="349" customWidth="1"/>
    <col min="8212" max="8212" width="10.28515625" style="349" customWidth="1"/>
    <col min="8213" max="8213" width="12.5703125" style="349" customWidth="1"/>
    <col min="8214" max="8214" width="10.85546875" style="349" customWidth="1"/>
    <col min="8215" max="8215" width="10.28515625" style="349" customWidth="1"/>
    <col min="8216" max="8216" width="12.140625" style="349" customWidth="1"/>
    <col min="8217" max="8218" width="10.28515625" style="349" customWidth="1"/>
    <col min="8219" max="8219" width="10.85546875" style="349" customWidth="1"/>
    <col min="8220" max="8221" width="11.85546875" style="349" customWidth="1"/>
    <col min="8222" max="8451" width="9.140625" style="349"/>
    <col min="8452" max="8452" width="5.85546875" style="349" customWidth="1"/>
    <col min="8453" max="8453" width="26.28515625" style="349" customWidth="1"/>
    <col min="8454" max="8454" width="11.7109375" style="349" customWidth="1"/>
    <col min="8455" max="8455" width="11.28515625" style="349" customWidth="1"/>
    <col min="8456" max="8456" width="10.28515625" style="349" customWidth="1"/>
    <col min="8457" max="8457" width="11.7109375" style="349" customWidth="1"/>
    <col min="8458" max="8458" width="11.140625" style="349" customWidth="1"/>
    <col min="8459" max="8459" width="10.28515625" style="349" customWidth="1"/>
    <col min="8460" max="8460" width="11.85546875" style="349" customWidth="1"/>
    <col min="8461" max="8461" width="10.7109375" style="349" customWidth="1"/>
    <col min="8462" max="8462" width="10.28515625" style="349" customWidth="1"/>
    <col min="8463" max="8463" width="11.28515625" style="349" customWidth="1"/>
    <col min="8464" max="8464" width="10.42578125" style="349" customWidth="1"/>
    <col min="8465" max="8465" width="10.28515625" style="349" customWidth="1"/>
    <col min="8466" max="8466" width="12.5703125" style="349" customWidth="1"/>
    <col min="8467" max="8467" width="10.85546875" style="349" customWidth="1"/>
    <col min="8468" max="8468" width="10.28515625" style="349" customWidth="1"/>
    <col min="8469" max="8469" width="12.5703125" style="349" customWidth="1"/>
    <col min="8470" max="8470" width="10.85546875" style="349" customWidth="1"/>
    <col min="8471" max="8471" width="10.28515625" style="349" customWidth="1"/>
    <col min="8472" max="8472" width="12.140625" style="349" customWidth="1"/>
    <col min="8473" max="8474" width="10.28515625" style="349" customWidth="1"/>
    <col min="8475" max="8475" width="10.85546875" style="349" customWidth="1"/>
    <col min="8476" max="8477" width="11.85546875" style="349" customWidth="1"/>
    <col min="8478" max="8707" width="9.140625" style="349"/>
    <col min="8708" max="8708" width="5.85546875" style="349" customWidth="1"/>
    <col min="8709" max="8709" width="26.28515625" style="349" customWidth="1"/>
    <col min="8710" max="8710" width="11.7109375" style="349" customWidth="1"/>
    <col min="8711" max="8711" width="11.28515625" style="349" customWidth="1"/>
    <col min="8712" max="8712" width="10.28515625" style="349" customWidth="1"/>
    <col min="8713" max="8713" width="11.7109375" style="349" customWidth="1"/>
    <col min="8714" max="8714" width="11.140625" style="349" customWidth="1"/>
    <col min="8715" max="8715" width="10.28515625" style="349" customWidth="1"/>
    <col min="8716" max="8716" width="11.85546875" style="349" customWidth="1"/>
    <col min="8717" max="8717" width="10.7109375" style="349" customWidth="1"/>
    <col min="8718" max="8718" width="10.28515625" style="349" customWidth="1"/>
    <col min="8719" max="8719" width="11.28515625" style="349" customWidth="1"/>
    <col min="8720" max="8720" width="10.42578125" style="349" customWidth="1"/>
    <col min="8721" max="8721" width="10.28515625" style="349" customWidth="1"/>
    <col min="8722" max="8722" width="12.5703125" style="349" customWidth="1"/>
    <col min="8723" max="8723" width="10.85546875" style="349" customWidth="1"/>
    <col min="8724" max="8724" width="10.28515625" style="349" customWidth="1"/>
    <col min="8725" max="8725" width="12.5703125" style="349" customWidth="1"/>
    <col min="8726" max="8726" width="10.85546875" style="349" customWidth="1"/>
    <col min="8727" max="8727" width="10.28515625" style="349" customWidth="1"/>
    <col min="8728" max="8728" width="12.140625" style="349" customWidth="1"/>
    <col min="8729" max="8730" width="10.28515625" style="349" customWidth="1"/>
    <col min="8731" max="8731" width="10.85546875" style="349" customWidth="1"/>
    <col min="8732" max="8733" width="11.85546875" style="349" customWidth="1"/>
    <col min="8734" max="8963" width="9.140625" style="349"/>
    <col min="8964" max="8964" width="5.85546875" style="349" customWidth="1"/>
    <col min="8965" max="8965" width="26.28515625" style="349" customWidth="1"/>
    <col min="8966" max="8966" width="11.7109375" style="349" customWidth="1"/>
    <col min="8967" max="8967" width="11.28515625" style="349" customWidth="1"/>
    <col min="8968" max="8968" width="10.28515625" style="349" customWidth="1"/>
    <col min="8969" max="8969" width="11.7109375" style="349" customWidth="1"/>
    <col min="8970" max="8970" width="11.140625" style="349" customWidth="1"/>
    <col min="8971" max="8971" width="10.28515625" style="349" customWidth="1"/>
    <col min="8972" max="8972" width="11.85546875" style="349" customWidth="1"/>
    <col min="8973" max="8973" width="10.7109375" style="349" customWidth="1"/>
    <col min="8974" max="8974" width="10.28515625" style="349" customWidth="1"/>
    <col min="8975" max="8975" width="11.28515625" style="349" customWidth="1"/>
    <col min="8976" max="8976" width="10.42578125" style="349" customWidth="1"/>
    <col min="8977" max="8977" width="10.28515625" style="349" customWidth="1"/>
    <col min="8978" max="8978" width="12.5703125" style="349" customWidth="1"/>
    <col min="8979" max="8979" width="10.85546875" style="349" customWidth="1"/>
    <col min="8980" max="8980" width="10.28515625" style="349" customWidth="1"/>
    <col min="8981" max="8981" width="12.5703125" style="349" customWidth="1"/>
    <col min="8982" max="8982" width="10.85546875" style="349" customWidth="1"/>
    <col min="8983" max="8983" width="10.28515625" style="349" customWidth="1"/>
    <col min="8984" max="8984" width="12.140625" style="349" customWidth="1"/>
    <col min="8985" max="8986" width="10.28515625" style="349" customWidth="1"/>
    <col min="8987" max="8987" width="10.85546875" style="349" customWidth="1"/>
    <col min="8988" max="8989" width="11.85546875" style="349" customWidth="1"/>
    <col min="8990" max="9219" width="9.140625" style="349"/>
    <col min="9220" max="9220" width="5.85546875" style="349" customWidth="1"/>
    <col min="9221" max="9221" width="26.28515625" style="349" customWidth="1"/>
    <col min="9222" max="9222" width="11.7109375" style="349" customWidth="1"/>
    <col min="9223" max="9223" width="11.28515625" style="349" customWidth="1"/>
    <col min="9224" max="9224" width="10.28515625" style="349" customWidth="1"/>
    <col min="9225" max="9225" width="11.7109375" style="349" customWidth="1"/>
    <col min="9226" max="9226" width="11.140625" style="349" customWidth="1"/>
    <col min="9227" max="9227" width="10.28515625" style="349" customWidth="1"/>
    <col min="9228" max="9228" width="11.85546875" style="349" customWidth="1"/>
    <col min="9229" max="9229" width="10.7109375" style="349" customWidth="1"/>
    <col min="9230" max="9230" width="10.28515625" style="349" customWidth="1"/>
    <col min="9231" max="9231" width="11.28515625" style="349" customWidth="1"/>
    <col min="9232" max="9232" width="10.42578125" style="349" customWidth="1"/>
    <col min="9233" max="9233" width="10.28515625" style="349" customWidth="1"/>
    <col min="9234" max="9234" width="12.5703125" style="349" customWidth="1"/>
    <col min="9235" max="9235" width="10.85546875" style="349" customWidth="1"/>
    <col min="9236" max="9236" width="10.28515625" style="349" customWidth="1"/>
    <col min="9237" max="9237" width="12.5703125" style="349" customWidth="1"/>
    <col min="9238" max="9238" width="10.85546875" style="349" customWidth="1"/>
    <col min="9239" max="9239" width="10.28515625" style="349" customWidth="1"/>
    <col min="9240" max="9240" width="12.140625" style="349" customWidth="1"/>
    <col min="9241" max="9242" width="10.28515625" style="349" customWidth="1"/>
    <col min="9243" max="9243" width="10.85546875" style="349" customWidth="1"/>
    <col min="9244" max="9245" width="11.85546875" style="349" customWidth="1"/>
    <col min="9246" max="9475" width="9.140625" style="349"/>
    <col min="9476" max="9476" width="5.85546875" style="349" customWidth="1"/>
    <col min="9477" max="9477" width="26.28515625" style="349" customWidth="1"/>
    <col min="9478" max="9478" width="11.7109375" style="349" customWidth="1"/>
    <col min="9479" max="9479" width="11.28515625" style="349" customWidth="1"/>
    <col min="9480" max="9480" width="10.28515625" style="349" customWidth="1"/>
    <col min="9481" max="9481" width="11.7109375" style="349" customWidth="1"/>
    <col min="9482" max="9482" width="11.140625" style="349" customWidth="1"/>
    <col min="9483" max="9483" width="10.28515625" style="349" customWidth="1"/>
    <col min="9484" max="9484" width="11.85546875" style="349" customWidth="1"/>
    <col min="9485" max="9485" width="10.7109375" style="349" customWidth="1"/>
    <col min="9486" max="9486" width="10.28515625" style="349" customWidth="1"/>
    <col min="9487" max="9487" width="11.28515625" style="349" customWidth="1"/>
    <col min="9488" max="9488" width="10.42578125" style="349" customWidth="1"/>
    <col min="9489" max="9489" width="10.28515625" style="349" customWidth="1"/>
    <col min="9490" max="9490" width="12.5703125" style="349" customWidth="1"/>
    <col min="9491" max="9491" width="10.85546875" style="349" customWidth="1"/>
    <col min="9492" max="9492" width="10.28515625" style="349" customWidth="1"/>
    <col min="9493" max="9493" width="12.5703125" style="349" customWidth="1"/>
    <col min="9494" max="9494" width="10.85546875" style="349" customWidth="1"/>
    <col min="9495" max="9495" width="10.28515625" style="349" customWidth="1"/>
    <col min="9496" max="9496" width="12.140625" style="349" customWidth="1"/>
    <col min="9497" max="9498" width="10.28515625" style="349" customWidth="1"/>
    <col min="9499" max="9499" width="10.85546875" style="349" customWidth="1"/>
    <col min="9500" max="9501" width="11.85546875" style="349" customWidth="1"/>
    <col min="9502" max="9731" width="9.140625" style="349"/>
    <col min="9732" max="9732" width="5.85546875" style="349" customWidth="1"/>
    <col min="9733" max="9733" width="26.28515625" style="349" customWidth="1"/>
    <col min="9734" max="9734" width="11.7109375" style="349" customWidth="1"/>
    <col min="9735" max="9735" width="11.28515625" style="349" customWidth="1"/>
    <col min="9736" max="9736" width="10.28515625" style="349" customWidth="1"/>
    <col min="9737" max="9737" width="11.7109375" style="349" customWidth="1"/>
    <col min="9738" max="9738" width="11.140625" style="349" customWidth="1"/>
    <col min="9739" max="9739" width="10.28515625" style="349" customWidth="1"/>
    <col min="9740" max="9740" width="11.85546875" style="349" customWidth="1"/>
    <col min="9741" max="9741" width="10.7109375" style="349" customWidth="1"/>
    <col min="9742" max="9742" width="10.28515625" style="349" customWidth="1"/>
    <col min="9743" max="9743" width="11.28515625" style="349" customWidth="1"/>
    <col min="9744" max="9744" width="10.42578125" style="349" customWidth="1"/>
    <col min="9745" max="9745" width="10.28515625" style="349" customWidth="1"/>
    <col min="9746" max="9746" width="12.5703125" style="349" customWidth="1"/>
    <col min="9747" max="9747" width="10.85546875" style="349" customWidth="1"/>
    <col min="9748" max="9748" width="10.28515625" style="349" customWidth="1"/>
    <col min="9749" max="9749" width="12.5703125" style="349" customWidth="1"/>
    <col min="9750" max="9750" width="10.85546875" style="349" customWidth="1"/>
    <col min="9751" max="9751" width="10.28515625" style="349" customWidth="1"/>
    <col min="9752" max="9752" width="12.140625" style="349" customWidth="1"/>
    <col min="9753" max="9754" width="10.28515625" style="349" customWidth="1"/>
    <col min="9755" max="9755" width="10.85546875" style="349" customWidth="1"/>
    <col min="9756" max="9757" width="11.85546875" style="349" customWidth="1"/>
    <col min="9758" max="9987" width="9.140625" style="349"/>
    <col min="9988" max="9988" width="5.85546875" style="349" customWidth="1"/>
    <col min="9989" max="9989" width="26.28515625" style="349" customWidth="1"/>
    <col min="9990" max="9990" width="11.7109375" style="349" customWidth="1"/>
    <col min="9991" max="9991" width="11.28515625" style="349" customWidth="1"/>
    <col min="9992" max="9992" width="10.28515625" style="349" customWidth="1"/>
    <col min="9993" max="9993" width="11.7109375" style="349" customWidth="1"/>
    <col min="9994" max="9994" width="11.140625" style="349" customWidth="1"/>
    <col min="9995" max="9995" width="10.28515625" style="349" customWidth="1"/>
    <col min="9996" max="9996" width="11.85546875" style="349" customWidth="1"/>
    <col min="9997" max="9997" width="10.7109375" style="349" customWidth="1"/>
    <col min="9998" max="9998" width="10.28515625" style="349" customWidth="1"/>
    <col min="9999" max="9999" width="11.28515625" style="349" customWidth="1"/>
    <col min="10000" max="10000" width="10.42578125" style="349" customWidth="1"/>
    <col min="10001" max="10001" width="10.28515625" style="349" customWidth="1"/>
    <col min="10002" max="10002" width="12.5703125" style="349" customWidth="1"/>
    <col min="10003" max="10003" width="10.85546875" style="349" customWidth="1"/>
    <col min="10004" max="10004" width="10.28515625" style="349" customWidth="1"/>
    <col min="10005" max="10005" width="12.5703125" style="349" customWidth="1"/>
    <col min="10006" max="10006" width="10.85546875" style="349" customWidth="1"/>
    <col min="10007" max="10007" width="10.28515625" style="349" customWidth="1"/>
    <col min="10008" max="10008" width="12.140625" style="349" customWidth="1"/>
    <col min="10009" max="10010" width="10.28515625" style="349" customWidth="1"/>
    <col min="10011" max="10011" width="10.85546875" style="349" customWidth="1"/>
    <col min="10012" max="10013" width="11.85546875" style="349" customWidth="1"/>
    <col min="10014" max="10243" width="9.140625" style="349"/>
    <col min="10244" max="10244" width="5.85546875" style="349" customWidth="1"/>
    <col min="10245" max="10245" width="26.28515625" style="349" customWidth="1"/>
    <col min="10246" max="10246" width="11.7109375" style="349" customWidth="1"/>
    <col min="10247" max="10247" width="11.28515625" style="349" customWidth="1"/>
    <col min="10248" max="10248" width="10.28515625" style="349" customWidth="1"/>
    <col min="10249" max="10249" width="11.7109375" style="349" customWidth="1"/>
    <col min="10250" max="10250" width="11.140625" style="349" customWidth="1"/>
    <col min="10251" max="10251" width="10.28515625" style="349" customWidth="1"/>
    <col min="10252" max="10252" width="11.85546875" style="349" customWidth="1"/>
    <col min="10253" max="10253" width="10.7109375" style="349" customWidth="1"/>
    <col min="10254" max="10254" width="10.28515625" style="349" customWidth="1"/>
    <col min="10255" max="10255" width="11.28515625" style="349" customWidth="1"/>
    <col min="10256" max="10256" width="10.42578125" style="349" customWidth="1"/>
    <col min="10257" max="10257" width="10.28515625" style="349" customWidth="1"/>
    <col min="10258" max="10258" width="12.5703125" style="349" customWidth="1"/>
    <col min="10259" max="10259" width="10.85546875" style="349" customWidth="1"/>
    <col min="10260" max="10260" width="10.28515625" style="349" customWidth="1"/>
    <col min="10261" max="10261" width="12.5703125" style="349" customWidth="1"/>
    <col min="10262" max="10262" width="10.85546875" style="349" customWidth="1"/>
    <col min="10263" max="10263" width="10.28515625" style="349" customWidth="1"/>
    <col min="10264" max="10264" width="12.140625" style="349" customWidth="1"/>
    <col min="10265" max="10266" width="10.28515625" style="349" customWidth="1"/>
    <col min="10267" max="10267" width="10.85546875" style="349" customWidth="1"/>
    <col min="10268" max="10269" width="11.85546875" style="349" customWidth="1"/>
    <col min="10270" max="10499" width="9.140625" style="349"/>
    <col min="10500" max="10500" width="5.85546875" style="349" customWidth="1"/>
    <col min="10501" max="10501" width="26.28515625" style="349" customWidth="1"/>
    <col min="10502" max="10502" width="11.7109375" style="349" customWidth="1"/>
    <col min="10503" max="10503" width="11.28515625" style="349" customWidth="1"/>
    <col min="10504" max="10504" width="10.28515625" style="349" customWidth="1"/>
    <col min="10505" max="10505" width="11.7109375" style="349" customWidth="1"/>
    <col min="10506" max="10506" width="11.140625" style="349" customWidth="1"/>
    <col min="10507" max="10507" width="10.28515625" style="349" customWidth="1"/>
    <col min="10508" max="10508" width="11.85546875" style="349" customWidth="1"/>
    <col min="10509" max="10509" width="10.7109375" style="349" customWidth="1"/>
    <col min="10510" max="10510" width="10.28515625" style="349" customWidth="1"/>
    <col min="10511" max="10511" width="11.28515625" style="349" customWidth="1"/>
    <col min="10512" max="10512" width="10.42578125" style="349" customWidth="1"/>
    <col min="10513" max="10513" width="10.28515625" style="349" customWidth="1"/>
    <col min="10514" max="10514" width="12.5703125" style="349" customWidth="1"/>
    <col min="10515" max="10515" width="10.85546875" style="349" customWidth="1"/>
    <col min="10516" max="10516" width="10.28515625" style="349" customWidth="1"/>
    <col min="10517" max="10517" width="12.5703125" style="349" customWidth="1"/>
    <col min="10518" max="10518" width="10.85546875" style="349" customWidth="1"/>
    <col min="10519" max="10519" width="10.28515625" style="349" customWidth="1"/>
    <col min="10520" max="10520" width="12.140625" style="349" customWidth="1"/>
    <col min="10521" max="10522" width="10.28515625" style="349" customWidth="1"/>
    <col min="10523" max="10523" width="10.85546875" style="349" customWidth="1"/>
    <col min="10524" max="10525" width="11.85546875" style="349" customWidth="1"/>
    <col min="10526" max="10755" width="9.140625" style="349"/>
    <col min="10756" max="10756" width="5.85546875" style="349" customWidth="1"/>
    <col min="10757" max="10757" width="26.28515625" style="349" customWidth="1"/>
    <col min="10758" max="10758" width="11.7109375" style="349" customWidth="1"/>
    <col min="10759" max="10759" width="11.28515625" style="349" customWidth="1"/>
    <col min="10760" max="10760" width="10.28515625" style="349" customWidth="1"/>
    <col min="10761" max="10761" width="11.7109375" style="349" customWidth="1"/>
    <col min="10762" max="10762" width="11.140625" style="349" customWidth="1"/>
    <col min="10763" max="10763" width="10.28515625" style="349" customWidth="1"/>
    <col min="10764" max="10764" width="11.85546875" style="349" customWidth="1"/>
    <col min="10765" max="10765" width="10.7109375" style="349" customWidth="1"/>
    <col min="10766" max="10766" width="10.28515625" style="349" customWidth="1"/>
    <col min="10767" max="10767" width="11.28515625" style="349" customWidth="1"/>
    <col min="10768" max="10768" width="10.42578125" style="349" customWidth="1"/>
    <col min="10769" max="10769" width="10.28515625" style="349" customWidth="1"/>
    <col min="10770" max="10770" width="12.5703125" style="349" customWidth="1"/>
    <col min="10771" max="10771" width="10.85546875" style="349" customWidth="1"/>
    <col min="10772" max="10772" width="10.28515625" style="349" customWidth="1"/>
    <col min="10773" max="10773" width="12.5703125" style="349" customWidth="1"/>
    <col min="10774" max="10774" width="10.85546875" style="349" customWidth="1"/>
    <col min="10775" max="10775" width="10.28515625" style="349" customWidth="1"/>
    <col min="10776" max="10776" width="12.140625" style="349" customWidth="1"/>
    <col min="10777" max="10778" width="10.28515625" style="349" customWidth="1"/>
    <col min="10779" max="10779" width="10.85546875" style="349" customWidth="1"/>
    <col min="10780" max="10781" width="11.85546875" style="349" customWidth="1"/>
    <col min="10782" max="11011" width="9.140625" style="349"/>
    <col min="11012" max="11012" width="5.85546875" style="349" customWidth="1"/>
    <col min="11013" max="11013" width="26.28515625" style="349" customWidth="1"/>
    <col min="11014" max="11014" width="11.7109375" style="349" customWidth="1"/>
    <col min="11015" max="11015" width="11.28515625" style="349" customWidth="1"/>
    <col min="11016" max="11016" width="10.28515625" style="349" customWidth="1"/>
    <col min="11017" max="11017" width="11.7109375" style="349" customWidth="1"/>
    <col min="11018" max="11018" width="11.140625" style="349" customWidth="1"/>
    <col min="11019" max="11019" width="10.28515625" style="349" customWidth="1"/>
    <col min="11020" max="11020" width="11.85546875" style="349" customWidth="1"/>
    <col min="11021" max="11021" width="10.7109375" style="349" customWidth="1"/>
    <col min="11022" max="11022" width="10.28515625" style="349" customWidth="1"/>
    <col min="11023" max="11023" width="11.28515625" style="349" customWidth="1"/>
    <col min="11024" max="11024" width="10.42578125" style="349" customWidth="1"/>
    <col min="11025" max="11025" width="10.28515625" style="349" customWidth="1"/>
    <col min="11026" max="11026" width="12.5703125" style="349" customWidth="1"/>
    <col min="11027" max="11027" width="10.85546875" style="349" customWidth="1"/>
    <col min="11028" max="11028" width="10.28515625" style="349" customWidth="1"/>
    <col min="11029" max="11029" width="12.5703125" style="349" customWidth="1"/>
    <col min="11030" max="11030" width="10.85546875" style="349" customWidth="1"/>
    <col min="11031" max="11031" width="10.28515625" style="349" customWidth="1"/>
    <col min="11032" max="11032" width="12.140625" style="349" customWidth="1"/>
    <col min="11033" max="11034" width="10.28515625" style="349" customWidth="1"/>
    <col min="11035" max="11035" width="10.85546875" style="349" customWidth="1"/>
    <col min="11036" max="11037" width="11.85546875" style="349" customWidth="1"/>
    <col min="11038" max="11267" width="9.140625" style="349"/>
    <col min="11268" max="11268" width="5.85546875" style="349" customWidth="1"/>
    <col min="11269" max="11269" width="26.28515625" style="349" customWidth="1"/>
    <col min="11270" max="11270" width="11.7109375" style="349" customWidth="1"/>
    <col min="11271" max="11271" width="11.28515625" style="349" customWidth="1"/>
    <col min="11272" max="11272" width="10.28515625" style="349" customWidth="1"/>
    <col min="11273" max="11273" width="11.7109375" style="349" customWidth="1"/>
    <col min="11274" max="11274" width="11.140625" style="349" customWidth="1"/>
    <col min="11275" max="11275" width="10.28515625" style="349" customWidth="1"/>
    <col min="11276" max="11276" width="11.85546875" style="349" customWidth="1"/>
    <col min="11277" max="11277" width="10.7109375" style="349" customWidth="1"/>
    <col min="11278" max="11278" width="10.28515625" style="349" customWidth="1"/>
    <col min="11279" max="11279" width="11.28515625" style="349" customWidth="1"/>
    <col min="11280" max="11280" width="10.42578125" style="349" customWidth="1"/>
    <col min="11281" max="11281" width="10.28515625" style="349" customWidth="1"/>
    <col min="11282" max="11282" width="12.5703125" style="349" customWidth="1"/>
    <col min="11283" max="11283" width="10.85546875" style="349" customWidth="1"/>
    <col min="11284" max="11284" width="10.28515625" style="349" customWidth="1"/>
    <col min="11285" max="11285" width="12.5703125" style="349" customWidth="1"/>
    <col min="11286" max="11286" width="10.85546875" style="349" customWidth="1"/>
    <col min="11287" max="11287" width="10.28515625" style="349" customWidth="1"/>
    <col min="11288" max="11288" width="12.140625" style="349" customWidth="1"/>
    <col min="11289" max="11290" width="10.28515625" style="349" customWidth="1"/>
    <col min="11291" max="11291" width="10.85546875" style="349" customWidth="1"/>
    <col min="11292" max="11293" width="11.85546875" style="349" customWidth="1"/>
    <col min="11294" max="11523" width="9.140625" style="349"/>
    <col min="11524" max="11524" width="5.85546875" style="349" customWidth="1"/>
    <col min="11525" max="11525" width="26.28515625" style="349" customWidth="1"/>
    <col min="11526" max="11526" width="11.7109375" style="349" customWidth="1"/>
    <col min="11527" max="11527" width="11.28515625" style="349" customWidth="1"/>
    <col min="11528" max="11528" width="10.28515625" style="349" customWidth="1"/>
    <col min="11529" max="11529" width="11.7109375" style="349" customWidth="1"/>
    <col min="11530" max="11530" width="11.140625" style="349" customWidth="1"/>
    <col min="11531" max="11531" width="10.28515625" style="349" customWidth="1"/>
    <col min="11532" max="11532" width="11.85546875" style="349" customWidth="1"/>
    <col min="11533" max="11533" width="10.7109375" style="349" customWidth="1"/>
    <col min="11534" max="11534" width="10.28515625" style="349" customWidth="1"/>
    <col min="11535" max="11535" width="11.28515625" style="349" customWidth="1"/>
    <col min="11536" max="11536" width="10.42578125" style="349" customWidth="1"/>
    <col min="11537" max="11537" width="10.28515625" style="349" customWidth="1"/>
    <col min="11538" max="11538" width="12.5703125" style="349" customWidth="1"/>
    <col min="11539" max="11539" width="10.85546875" style="349" customWidth="1"/>
    <col min="11540" max="11540" width="10.28515625" style="349" customWidth="1"/>
    <col min="11541" max="11541" width="12.5703125" style="349" customWidth="1"/>
    <col min="11542" max="11542" width="10.85546875" style="349" customWidth="1"/>
    <col min="11543" max="11543" width="10.28515625" style="349" customWidth="1"/>
    <col min="11544" max="11544" width="12.140625" style="349" customWidth="1"/>
    <col min="11545" max="11546" width="10.28515625" style="349" customWidth="1"/>
    <col min="11547" max="11547" width="10.85546875" style="349" customWidth="1"/>
    <col min="11548" max="11549" width="11.85546875" style="349" customWidth="1"/>
    <col min="11550" max="11779" width="9.140625" style="349"/>
    <col min="11780" max="11780" width="5.85546875" style="349" customWidth="1"/>
    <col min="11781" max="11781" width="26.28515625" style="349" customWidth="1"/>
    <col min="11782" max="11782" width="11.7109375" style="349" customWidth="1"/>
    <col min="11783" max="11783" width="11.28515625" style="349" customWidth="1"/>
    <col min="11784" max="11784" width="10.28515625" style="349" customWidth="1"/>
    <col min="11785" max="11785" width="11.7109375" style="349" customWidth="1"/>
    <col min="11786" max="11786" width="11.140625" style="349" customWidth="1"/>
    <col min="11787" max="11787" width="10.28515625" style="349" customWidth="1"/>
    <col min="11788" max="11788" width="11.85546875" style="349" customWidth="1"/>
    <col min="11789" max="11789" width="10.7109375" style="349" customWidth="1"/>
    <col min="11790" max="11790" width="10.28515625" style="349" customWidth="1"/>
    <col min="11791" max="11791" width="11.28515625" style="349" customWidth="1"/>
    <col min="11792" max="11792" width="10.42578125" style="349" customWidth="1"/>
    <col min="11793" max="11793" width="10.28515625" style="349" customWidth="1"/>
    <col min="11794" max="11794" width="12.5703125" style="349" customWidth="1"/>
    <col min="11795" max="11795" width="10.85546875" style="349" customWidth="1"/>
    <col min="11796" max="11796" width="10.28515625" style="349" customWidth="1"/>
    <col min="11797" max="11797" width="12.5703125" style="349" customWidth="1"/>
    <col min="11798" max="11798" width="10.85546875" style="349" customWidth="1"/>
    <col min="11799" max="11799" width="10.28515625" style="349" customWidth="1"/>
    <col min="11800" max="11800" width="12.140625" style="349" customWidth="1"/>
    <col min="11801" max="11802" width="10.28515625" style="349" customWidth="1"/>
    <col min="11803" max="11803" width="10.85546875" style="349" customWidth="1"/>
    <col min="11804" max="11805" width="11.85546875" style="349" customWidth="1"/>
    <col min="11806" max="12035" width="9.140625" style="349"/>
    <col min="12036" max="12036" width="5.85546875" style="349" customWidth="1"/>
    <col min="12037" max="12037" width="26.28515625" style="349" customWidth="1"/>
    <col min="12038" max="12038" width="11.7109375" style="349" customWidth="1"/>
    <col min="12039" max="12039" width="11.28515625" style="349" customWidth="1"/>
    <col min="12040" max="12040" width="10.28515625" style="349" customWidth="1"/>
    <col min="12041" max="12041" width="11.7109375" style="349" customWidth="1"/>
    <col min="12042" max="12042" width="11.140625" style="349" customWidth="1"/>
    <col min="12043" max="12043" width="10.28515625" style="349" customWidth="1"/>
    <col min="12044" max="12044" width="11.85546875" style="349" customWidth="1"/>
    <col min="12045" max="12045" width="10.7109375" style="349" customWidth="1"/>
    <col min="12046" max="12046" width="10.28515625" style="349" customWidth="1"/>
    <col min="12047" max="12047" width="11.28515625" style="349" customWidth="1"/>
    <col min="12048" max="12048" width="10.42578125" style="349" customWidth="1"/>
    <col min="12049" max="12049" width="10.28515625" style="349" customWidth="1"/>
    <col min="12050" max="12050" width="12.5703125" style="349" customWidth="1"/>
    <col min="12051" max="12051" width="10.85546875" style="349" customWidth="1"/>
    <col min="12052" max="12052" width="10.28515625" style="349" customWidth="1"/>
    <col min="12053" max="12053" width="12.5703125" style="349" customWidth="1"/>
    <col min="12054" max="12054" width="10.85546875" style="349" customWidth="1"/>
    <col min="12055" max="12055" width="10.28515625" style="349" customWidth="1"/>
    <col min="12056" max="12056" width="12.140625" style="349" customWidth="1"/>
    <col min="12057" max="12058" width="10.28515625" style="349" customWidth="1"/>
    <col min="12059" max="12059" width="10.85546875" style="349" customWidth="1"/>
    <col min="12060" max="12061" width="11.85546875" style="349" customWidth="1"/>
    <col min="12062" max="12291" width="9.140625" style="349"/>
    <col min="12292" max="12292" width="5.85546875" style="349" customWidth="1"/>
    <col min="12293" max="12293" width="26.28515625" style="349" customWidth="1"/>
    <col min="12294" max="12294" width="11.7109375" style="349" customWidth="1"/>
    <col min="12295" max="12295" width="11.28515625" style="349" customWidth="1"/>
    <col min="12296" max="12296" width="10.28515625" style="349" customWidth="1"/>
    <col min="12297" max="12297" width="11.7109375" style="349" customWidth="1"/>
    <col min="12298" max="12298" width="11.140625" style="349" customWidth="1"/>
    <col min="12299" max="12299" width="10.28515625" style="349" customWidth="1"/>
    <col min="12300" max="12300" width="11.85546875" style="349" customWidth="1"/>
    <col min="12301" max="12301" width="10.7109375" style="349" customWidth="1"/>
    <col min="12302" max="12302" width="10.28515625" style="349" customWidth="1"/>
    <col min="12303" max="12303" width="11.28515625" style="349" customWidth="1"/>
    <col min="12304" max="12304" width="10.42578125" style="349" customWidth="1"/>
    <col min="12305" max="12305" width="10.28515625" style="349" customWidth="1"/>
    <col min="12306" max="12306" width="12.5703125" style="349" customWidth="1"/>
    <col min="12307" max="12307" width="10.85546875" style="349" customWidth="1"/>
    <col min="12308" max="12308" width="10.28515625" style="349" customWidth="1"/>
    <col min="12309" max="12309" width="12.5703125" style="349" customWidth="1"/>
    <col min="12310" max="12310" width="10.85546875" style="349" customWidth="1"/>
    <col min="12311" max="12311" width="10.28515625" style="349" customWidth="1"/>
    <col min="12312" max="12312" width="12.140625" style="349" customWidth="1"/>
    <col min="12313" max="12314" width="10.28515625" style="349" customWidth="1"/>
    <col min="12315" max="12315" width="10.85546875" style="349" customWidth="1"/>
    <col min="12316" max="12317" width="11.85546875" style="349" customWidth="1"/>
    <col min="12318" max="12547" width="9.140625" style="349"/>
    <col min="12548" max="12548" width="5.85546875" style="349" customWidth="1"/>
    <col min="12549" max="12549" width="26.28515625" style="349" customWidth="1"/>
    <col min="12550" max="12550" width="11.7109375" style="349" customWidth="1"/>
    <col min="12551" max="12551" width="11.28515625" style="349" customWidth="1"/>
    <col min="12552" max="12552" width="10.28515625" style="349" customWidth="1"/>
    <col min="12553" max="12553" width="11.7109375" style="349" customWidth="1"/>
    <col min="12554" max="12554" width="11.140625" style="349" customWidth="1"/>
    <col min="12555" max="12555" width="10.28515625" style="349" customWidth="1"/>
    <col min="12556" max="12556" width="11.85546875" style="349" customWidth="1"/>
    <col min="12557" max="12557" width="10.7109375" style="349" customWidth="1"/>
    <col min="12558" max="12558" width="10.28515625" style="349" customWidth="1"/>
    <col min="12559" max="12559" width="11.28515625" style="349" customWidth="1"/>
    <col min="12560" max="12560" width="10.42578125" style="349" customWidth="1"/>
    <col min="12561" max="12561" width="10.28515625" style="349" customWidth="1"/>
    <col min="12562" max="12562" width="12.5703125" style="349" customWidth="1"/>
    <col min="12563" max="12563" width="10.85546875" style="349" customWidth="1"/>
    <col min="12564" max="12564" width="10.28515625" style="349" customWidth="1"/>
    <col min="12565" max="12565" width="12.5703125" style="349" customWidth="1"/>
    <col min="12566" max="12566" width="10.85546875" style="349" customWidth="1"/>
    <col min="12567" max="12567" width="10.28515625" style="349" customWidth="1"/>
    <col min="12568" max="12568" width="12.140625" style="349" customWidth="1"/>
    <col min="12569" max="12570" width="10.28515625" style="349" customWidth="1"/>
    <col min="12571" max="12571" width="10.85546875" style="349" customWidth="1"/>
    <col min="12572" max="12573" width="11.85546875" style="349" customWidth="1"/>
    <col min="12574" max="12803" width="9.140625" style="349"/>
    <col min="12804" max="12804" width="5.85546875" style="349" customWidth="1"/>
    <col min="12805" max="12805" width="26.28515625" style="349" customWidth="1"/>
    <col min="12806" max="12806" width="11.7109375" style="349" customWidth="1"/>
    <col min="12807" max="12807" width="11.28515625" style="349" customWidth="1"/>
    <col min="12808" max="12808" width="10.28515625" style="349" customWidth="1"/>
    <col min="12809" max="12809" width="11.7109375" style="349" customWidth="1"/>
    <col min="12810" max="12810" width="11.140625" style="349" customWidth="1"/>
    <col min="12811" max="12811" width="10.28515625" style="349" customWidth="1"/>
    <col min="12812" max="12812" width="11.85546875" style="349" customWidth="1"/>
    <col min="12813" max="12813" width="10.7109375" style="349" customWidth="1"/>
    <col min="12814" max="12814" width="10.28515625" style="349" customWidth="1"/>
    <col min="12815" max="12815" width="11.28515625" style="349" customWidth="1"/>
    <col min="12816" max="12816" width="10.42578125" style="349" customWidth="1"/>
    <col min="12817" max="12817" width="10.28515625" style="349" customWidth="1"/>
    <col min="12818" max="12818" width="12.5703125" style="349" customWidth="1"/>
    <col min="12819" max="12819" width="10.85546875" style="349" customWidth="1"/>
    <col min="12820" max="12820" width="10.28515625" style="349" customWidth="1"/>
    <col min="12821" max="12821" width="12.5703125" style="349" customWidth="1"/>
    <col min="12822" max="12822" width="10.85546875" style="349" customWidth="1"/>
    <col min="12823" max="12823" width="10.28515625" style="349" customWidth="1"/>
    <col min="12824" max="12824" width="12.140625" style="349" customWidth="1"/>
    <col min="12825" max="12826" width="10.28515625" style="349" customWidth="1"/>
    <col min="12827" max="12827" width="10.85546875" style="349" customWidth="1"/>
    <col min="12828" max="12829" width="11.85546875" style="349" customWidth="1"/>
    <col min="12830" max="13059" width="9.140625" style="349"/>
    <col min="13060" max="13060" width="5.85546875" style="349" customWidth="1"/>
    <col min="13061" max="13061" width="26.28515625" style="349" customWidth="1"/>
    <col min="13062" max="13062" width="11.7109375" style="349" customWidth="1"/>
    <col min="13063" max="13063" width="11.28515625" style="349" customWidth="1"/>
    <col min="13064" max="13064" width="10.28515625" style="349" customWidth="1"/>
    <col min="13065" max="13065" width="11.7109375" style="349" customWidth="1"/>
    <col min="13066" max="13066" width="11.140625" style="349" customWidth="1"/>
    <col min="13067" max="13067" width="10.28515625" style="349" customWidth="1"/>
    <col min="13068" max="13068" width="11.85546875" style="349" customWidth="1"/>
    <col min="13069" max="13069" width="10.7109375" style="349" customWidth="1"/>
    <col min="13070" max="13070" width="10.28515625" style="349" customWidth="1"/>
    <col min="13071" max="13071" width="11.28515625" style="349" customWidth="1"/>
    <col min="13072" max="13072" width="10.42578125" style="349" customWidth="1"/>
    <col min="13073" max="13073" width="10.28515625" style="349" customWidth="1"/>
    <col min="13074" max="13074" width="12.5703125" style="349" customWidth="1"/>
    <col min="13075" max="13075" width="10.85546875" style="349" customWidth="1"/>
    <col min="13076" max="13076" width="10.28515625" style="349" customWidth="1"/>
    <col min="13077" max="13077" width="12.5703125" style="349" customWidth="1"/>
    <col min="13078" max="13078" width="10.85546875" style="349" customWidth="1"/>
    <col min="13079" max="13079" width="10.28515625" style="349" customWidth="1"/>
    <col min="13080" max="13080" width="12.140625" style="349" customWidth="1"/>
    <col min="13081" max="13082" width="10.28515625" style="349" customWidth="1"/>
    <col min="13083" max="13083" width="10.85546875" style="349" customWidth="1"/>
    <col min="13084" max="13085" width="11.85546875" style="349" customWidth="1"/>
    <col min="13086" max="13315" width="9.140625" style="349"/>
    <col min="13316" max="13316" width="5.85546875" style="349" customWidth="1"/>
    <col min="13317" max="13317" width="26.28515625" style="349" customWidth="1"/>
    <col min="13318" max="13318" width="11.7109375" style="349" customWidth="1"/>
    <col min="13319" max="13319" width="11.28515625" style="349" customWidth="1"/>
    <col min="13320" max="13320" width="10.28515625" style="349" customWidth="1"/>
    <col min="13321" max="13321" width="11.7109375" style="349" customWidth="1"/>
    <col min="13322" max="13322" width="11.140625" style="349" customWidth="1"/>
    <col min="13323" max="13323" width="10.28515625" style="349" customWidth="1"/>
    <col min="13324" max="13324" width="11.85546875" style="349" customWidth="1"/>
    <col min="13325" max="13325" width="10.7109375" style="349" customWidth="1"/>
    <col min="13326" max="13326" width="10.28515625" style="349" customWidth="1"/>
    <col min="13327" max="13327" width="11.28515625" style="349" customWidth="1"/>
    <col min="13328" max="13328" width="10.42578125" style="349" customWidth="1"/>
    <col min="13329" max="13329" width="10.28515625" style="349" customWidth="1"/>
    <col min="13330" max="13330" width="12.5703125" style="349" customWidth="1"/>
    <col min="13331" max="13331" width="10.85546875" style="349" customWidth="1"/>
    <col min="13332" max="13332" width="10.28515625" style="349" customWidth="1"/>
    <col min="13333" max="13333" width="12.5703125" style="349" customWidth="1"/>
    <col min="13334" max="13334" width="10.85546875" style="349" customWidth="1"/>
    <col min="13335" max="13335" width="10.28515625" style="349" customWidth="1"/>
    <col min="13336" max="13336" width="12.140625" style="349" customWidth="1"/>
    <col min="13337" max="13338" width="10.28515625" style="349" customWidth="1"/>
    <col min="13339" max="13339" width="10.85546875" style="349" customWidth="1"/>
    <col min="13340" max="13341" width="11.85546875" style="349" customWidth="1"/>
    <col min="13342" max="13571" width="9.140625" style="349"/>
    <col min="13572" max="13572" width="5.85546875" style="349" customWidth="1"/>
    <col min="13573" max="13573" width="26.28515625" style="349" customWidth="1"/>
    <col min="13574" max="13574" width="11.7109375" style="349" customWidth="1"/>
    <col min="13575" max="13575" width="11.28515625" style="349" customWidth="1"/>
    <col min="13576" max="13576" width="10.28515625" style="349" customWidth="1"/>
    <col min="13577" max="13577" width="11.7109375" style="349" customWidth="1"/>
    <col min="13578" max="13578" width="11.140625" style="349" customWidth="1"/>
    <col min="13579" max="13579" width="10.28515625" style="349" customWidth="1"/>
    <col min="13580" max="13580" width="11.85546875" style="349" customWidth="1"/>
    <col min="13581" max="13581" width="10.7109375" style="349" customWidth="1"/>
    <col min="13582" max="13582" width="10.28515625" style="349" customWidth="1"/>
    <col min="13583" max="13583" width="11.28515625" style="349" customWidth="1"/>
    <col min="13584" max="13584" width="10.42578125" style="349" customWidth="1"/>
    <col min="13585" max="13585" width="10.28515625" style="349" customWidth="1"/>
    <col min="13586" max="13586" width="12.5703125" style="349" customWidth="1"/>
    <col min="13587" max="13587" width="10.85546875" style="349" customWidth="1"/>
    <col min="13588" max="13588" width="10.28515625" style="349" customWidth="1"/>
    <col min="13589" max="13589" width="12.5703125" style="349" customWidth="1"/>
    <col min="13590" max="13590" width="10.85546875" style="349" customWidth="1"/>
    <col min="13591" max="13591" width="10.28515625" style="349" customWidth="1"/>
    <col min="13592" max="13592" width="12.140625" style="349" customWidth="1"/>
    <col min="13593" max="13594" width="10.28515625" style="349" customWidth="1"/>
    <col min="13595" max="13595" width="10.85546875" style="349" customWidth="1"/>
    <col min="13596" max="13597" width="11.85546875" style="349" customWidth="1"/>
    <col min="13598" max="13827" width="9.140625" style="349"/>
    <col min="13828" max="13828" width="5.85546875" style="349" customWidth="1"/>
    <col min="13829" max="13829" width="26.28515625" style="349" customWidth="1"/>
    <col min="13830" max="13830" width="11.7109375" style="349" customWidth="1"/>
    <col min="13831" max="13831" width="11.28515625" style="349" customWidth="1"/>
    <col min="13832" max="13832" width="10.28515625" style="349" customWidth="1"/>
    <col min="13833" max="13833" width="11.7109375" style="349" customWidth="1"/>
    <col min="13834" max="13834" width="11.140625" style="349" customWidth="1"/>
    <col min="13835" max="13835" width="10.28515625" style="349" customWidth="1"/>
    <col min="13836" max="13836" width="11.85546875" style="349" customWidth="1"/>
    <col min="13837" max="13837" width="10.7109375" style="349" customWidth="1"/>
    <col min="13838" max="13838" width="10.28515625" style="349" customWidth="1"/>
    <col min="13839" max="13839" width="11.28515625" style="349" customWidth="1"/>
    <col min="13840" max="13840" width="10.42578125" style="349" customWidth="1"/>
    <col min="13841" max="13841" width="10.28515625" style="349" customWidth="1"/>
    <col min="13842" max="13842" width="12.5703125" style="349" customWidth="1"/>
    <col min="13843" max="13843" width="10.85546875" style="349" customWidth="1"/>
    <col min="13844" max="13844" width="10.28515625" style="349" customWidth="1"/>
    <col min="13845" max="13845" width="12.5703125" style="349" customWidth="1"/>
    <col min="13846" max="13846" width="10.85546875" style="349" customWidth="1"/>
    <col min="13847" max="13847" width="10.28515625" style="349" customWidth="1"/>
    <col min="13848" max="13848" width="12.140625" style="349" customWidth="1"/>
    <col min="13849" max="13850" width="10.28515625" style="349" customWidth="1"/>
    <col min="13851" max="13851" width="10.85546875" style="349" customWidth="1"/>
    <col min="13852" max="13853" width="11.85546875" style="349" customWidth="1"/>
    <col min="13854" max="14083" width="9.140625" style="349"/>
    <col min="14084" max="14084" width="5.85546875" style="349" customWidth="1"/>
    <col min="14085" max="14085" width="26.28515625" style="349" customWidth="1"/>
    <col min="14086" max="14086" width="11.7109375" style="349" customWidth="1"/>
    <col min="14087" max="14087" width="11.28515625" style="349" customWidth="1"/>
    <col min="14088" max="14088" width="10.28515625" style="349" customWidth="1"/>
    <col min="14089" max="14089" width="11.7109375" style="349" customWidth="1"/>
    <col min="14090" max="14090" width="11.140625" style="349" customWidth="1"/>
    <col min="14091" max="14091" width="10.28515625" style="349" customWidth="1"/>
    <col min="14092" max="14092" width="11.85546875" style="349" customWidth="1"/>
    <col min="14093" max="14093" width="10.7109375" style="349" customWidth="1"/>
    <col min="14094" max="14094" width="10.28515625" style="349" customWidth="1"/>
    <col min="14095" max="14095" width="11.28515625" style="349" customWidth="1"/>
    <col min="14096" max="14096" width="10.42578125" style="349" customWidth="1"/>
    <col min="14097" max="14097" width="10.28515625" style="349" customWidth="1"/>
    <col min="14098" max="14098" width="12.5703125" style="349" customWidth="1"/>
    <col min="14099" max="14099" width="10.85546875" style="349" customWidth="1"/>
    <col min="14100" max="14100" width="10.28515625" style="349" customWidth="1"/>
    <col min="14101" max="14101" width="12.5703125" style="349" customWidth="1"/>
    <col min="14102" max="14102" width="10.85546875" style="349" customWidth="1"/>
    <col min="14103" max="14103" width="10.28515625" style="349" customWidth="1"/>
    <col min="14104" max="14104" width="12.140625" style="349" customWidth="1"/>
    <col min="14105" max="14106" width="10.28515625" style="349" customWidth="1"/>
    <col min="14107" max="14107" width="10.85546875" style="349" customWidth="1"/>
    <col min="14108" max="14109" width="11.85546875" style="349" customWidth="1"/>
    <col min="14110" max="14339" width="9.140625" style="349"/>
    <col min="14340" max="14340" width="5.85546875" style="349" customWidth="1"/>
    <col min="14341" max="14341" width="26.28515625" style="349" customWidth="1"/>
    <col min="14342" max="14342" width="11.7109375" style="349" customWidth="1"/>
    <col min="14343" max="14343" width="11.28515625" style="349" customWidth="1"/>
    <col min="14344" max="14344" width="10.28515625" style="349" customWidth="1"/>
    <col min="14345" max="14345" width="11.7109375" style="349" customWidth="1"/>
    <col min="14346" max="14346" width="11.140625" style="349" customWidth="1"/>
    <col min="14347" max="14347" width="10.28515625" style="349" customWidth="1"/>
    <col min="14348" max="14348" width="11.85546875" style="349" customWidth="1"/>
    <col min="14349" max="14349" width="10.7109375" style="349" customWidth="1"/>
    <col min="14350" max="14350" width="10.28515625" style="349" customWidth="1"/>
    <col min="14351" max="14351" width="11.28515625" style="349" customWidth="1"/>
    <col min="14352" max="14352" width="10.42578125" style="349" customWidth="1"/>
    <col min="14353" max="14353" width="10.28515625" style="349" customWidth="1"/>
    <col min="14354" max="14354" width="12.5703125" style="349" customWidth="1"/>
    <col min="14355" max="14355" width="10.85546875" style="349" customWidth="1"/>
    <col min="14356" max="14356" width="10.28515625" style="349" customWidth="1"/>
    <col min="14357" max="14357" width="12.5703125" style="349" customWidth="1"/>
    <col min="14358" max="14358" width="10.85546875" style="349" customWidth="1"/>
    <col min="14359" max="14359" width="10.28515625" style="349" customWidth="1"/>
    <col min="14360" max="14360" width="12.140625" style="349" customWidth="1"/>
    <col min="14361" max="14362" width="10.28515625" style="349" customWidth="1"/>
    <col min="14363" max="14363" width="10.85546875" style="349" customWidth="1"/>
    <col min="14364" max="14365" width="11.85546875" style="349" customWidth="1"/>
    <col min="14366" max="14595" width="9.140625" style="349"/>
    <col min="14596" max="14596" width="5.85546875" style="349" customWidth="1"/>
    <col min="14597" max="14597" width="26.28515625" style="349" customWidth="1"/>
    <col min="14598" max="14598" width="11.7109375" style="349" customWidth="1"/>
    <col min="14599" max="14599" width="11.28515625" style="349" customWidth="1"/>
    <col min="14600" max="14600" width="10.28515625" style="349" customWidth="1"/>
    <col min="14601" max="14601" width="11.7109375" style="349" customWidth="1"/>
    <col min="14602" max="14602" width="11.140625" style="349" customWidth="1"/>
    <col min="14603" max="14603" width="10.28515625" style="349" customWidth="1"/>
    <col min="14604" max="14604" width="11.85546875" style="349" customWidth="1"/>
    <col min="14605" max="14605" width="10.7109375" style="349" customWidth="1"/>
    <col min="14606" max="14606" width="10.28515625" style="349" customWidth="1"/>
    <col min="14607" max="14607" width="11.28515625" style="349" customWidth="1"/>
    <col min="14608" max="14608" width="10.42578125" style="349" customWidth="1"/>
    <col min="14609" max="14609" width="10.28515625" style="349" customWidth="1"/>
    <col min="14610" max="14610" width="12.5703125" style="349" customWidth="1"/>
    <col min="14611" max="14611" width="10.85546875" style="349" customWidth="1"/>
    <col min="14612" max="14612" width="10.28515625" style="349" customWidth="1"/>
    <col min="14613" max="14613" width="12.5703125" style="349" customWidth="1"/>
    <col min="14614" max="14614" width="10.85546875" style="349" customWidth="1"/>
    <col min="14615" max="14615" width="10.28515625" style="349" customWidth="1"/>
    <col min="14616" max="14616" width="12.140625" style="349" customWidth="1"/>
    <col min="14617" max="14618" width="10.28515625" style="349" customWidth="1"/>
    <col min="14619" max="14619" width="10.85546875" style="349" customWidth="1"/>
    <col min="14620" max="14621" width="11.85546875" style="349" customWidth="1"/>
    <col min="14622" max="14851" width="9.140625" style="349"/>
    <col min="14852" max="14852" width="5.85546875" style="349" customWidth="1"/>
    <col min="14853" max="14853" width="26.28515625" style="349" customWidth="1"/>
    <col min="14854" max="14854" width="11.7109375" style="349" customWidth="1"/>
    <col min="14855" max="14855" width="11.28515625" style="349" customWidth="1"/>
    <col min="14856" max="14856" width="10.28515625" style="349" customWidth="1"/>
    <col min="14857" max="14857" width="11.7109375" style="349" customWidth="1"/>
    <col min="14858" max="14858" width="11.140625" style="349" customWidth="1"/>
    <col min="14859" max="14859" width="10.28515625" style="349" customWidth="1"/>
    <col min="14860" max="14860" width="11.85546875" style="349" customWidth="1"/>
    <col min="14861" max="14861" width="10.7109375" style="349" customWidth="1"/>
    <col min="14862" max="14862" width="10.28515625" style="349" customWidth="1"/>
    <col min="14863" max="14863" width="11.28515625" style="349" customWidth="1"/>
    <col min="14864" max="14864" width="10.42578125" style="349" customWidth="1"/>
    <col min="14865" max="14865" width="10.28515625" style="349" customWidth="1"/>
    <col min="14866" max="14866" width="12.5703125" style="349" customWidth="1"/>
    <col min="14867" max="14867" width="10.85546875" style="349" customWidth="1"/>
    <col min="14868" max="14868" width="10.28515625" style="349" customWidth="1"/>
    <col min="14869" max="14869" width="12.5703125" style="349" customWidth="1"/>
    <col min="14870" max="14870" width="10.85546875" style="349" customWidth="1"/>
    <col min="14871" max="14871" width="10.28515625" style="349" customWidth="1"/>
    <col min="14872" max="14872" width="12.140625" style="349" customWidth="1"/>
    <col min="14873" max="14874" width="10.28515625" style="349" customWidth="1"/>
    <col min="14875" max="14875" width="10.85546875" style="349" customWidth="1"/>
    <col min="14876" max="14877" width="11.85546875" style="349" customWidth="1"/>
    <col min="14878" max="15107" width="9.140625" style="349"/>
    <col min="15108" max="15108" width="5.85546875" style="349" customWidth="1"/>
    <col min="15109" max="15109" width="26.28515625" style="349" customWidth="1"/>
    <col min="15110" max="15110" width="11.7109375" style="349" customWidth="1"/>
    <col min="15111" max="15111" width="11.28515625" style="349" customWidth="1"/>
    <col min="15112" max="15112" width="10.28515625" style="349" customWidth="1"/>
    <col min="15113" max="15113" width="11.7109375" style="349" customWidth="1"/>
    <col min="15114" max="15114" width="11.140625" style="349" customWidth="1"/>
    <col min="15115" max="15115" width="10.28515625" style="349" customWidth="1"/>
    <col min="15116" max="15116" width="11.85546875" style="349" customWidth="1"/>
    <col min="15117" max="15117" width="10.7109375" style="349" customWidth="1"/>
    <col min="15118" max="15118" width="10.28515625" style="349" customWidth="1"/>
    <col min="15119" max="15119" width="11.28515625" style="349" customWidth="1"/>
    <col min="15120" max="15120" width="10.42578125" style="349" customWidth="1"/>
    <col min="15121" max="15121" width="10.28515625" style="349" customWidth="1"/>
    <col min="15122" max="15122" width="12.5703125" style="349" customWidth="1"/>
    <col min="15123" max="15123" width="10.85546875" style="349" customWidth="1"/>
    <col min="15124" max="15124" width="10.28515625" style="349" customWidth="1"/>
    <col min="15125" max="15125" width="12.5703125" style="349" customWidth="1"/>
    <col min="15126" max="15126" width="10.85546875" style="349" customWidth="1"/>
    <col min="15127" max="15127" width="10.28515625" style="349" customWidth="1"/>
    <col min="15128" max="15128" width="12.140625" style="349" customWidth="1"/>
    <col min="15129" max="15130" width="10.28515625" style="349" customWidth="1"/>
    <col min="15131" max="15131" width="10.85546875" style="349" customWidth="1"/>
    <col min="15132" max="15133" width="11.85546875" style="349" customWidth="1"/>
    <col min="15134" max="15363" width="9.140625" style="349"/>
    <col min="15364" max="15364" width="5.85546875" style="349" customWidth="1"/>
    <col min="15365" max="15365" width="26.28515625" style="349" customWidth="1"/>
    <col min="15366" max="15366" width="11.7109375" style="349" customWidth="1"/>
    <col min="15367" max="15367" width="11.28515625" style="349" customWidth="1"/>
    <col min="15368" max="15368" width="10.28515625" style="349" customWidth="1"/>
    <col min="15369" max="15369" width="11.7109375" style="349" customWidth="1"/>
    <col min="15370" max="15370" width="11.140625" style="349" customWidth="1"/>
    <col min="15371" max="15371" width="10.28515625" style="349" customWidth="1"/>
    <col min="15372" max="15372" width="11.85546875" style="349" customWidth="1"/>
    <col min="15373" max="15373" width="10.7109375" style="349" customWidth="1"/>
    <col min="15374" max="15374" width="10.28515625" style="349" customWidth="1"/>
    <col min="15375" max="15375" width="11.28515625" style="349" customWidth="1"/>
    <col min="15376" max="15376" width="10.42578125" style="349" customWidth="1"/>
    <col min="15377" max="15377" width="10.28515625" style="349" customWidth="1"/>
    <col min="15378" max="15378" width="12.5703125" style="349" customWidth="1"/>
    <col min="15379" max="15379" width="10.85546875" style="349" customWidth="1"/>
    <col min="15380" max="15380" width="10.28515625" style="349" customWidth="1"/>
    <col min="15381" max="15381" width="12.5703125" style="349" customWidth="1"/>
    <col min="15382" max="15382" width="10.85546875" style="349" customWidth="1"/>
    <col min="15383" max="15383" width="10.28515625" style="349" customWidth="1"/>
    <col min="15384" max="15384" width="12.140625" style="349" customWidth="1"/>
    <col min="15385" max="15386" width="10.28515625" style="349" customWidth="1"/>
    <col min="15387" max="15387" width="10.85546875" style="349" customWidth="1"/>
    <col min="15388" max="15389" width="11.85546875" style="349" customWidth="1"/>
    <col min="15390" max="15619" width="9.140625" style="349"/>
    <col min="15620" max="15620" width="5.85546875" style="349" customWidth="1"/>
    <col min="15621" max="15621" width="26.28515625" style="349" customWidth="1"/>
    <col min="15622" max="15622" width="11.7109375" style="349" customWidth="1"/>
    <col min="15623" max="15623" width="11.28515625" style="349" customWidth="1"/>
    <col min="15624" max="15624" width="10.28515625" style="349" customWidth="1"/>
    <col min="15625" max="15625" width="11.7109375" style="349" customWidth="1"/>
    <col min="15626" max="15626" width="11.140625" style="349" customWidth="1"/>
    <col min="15627" max="15627" width="10.28515625" style="349" customWidth="1"/>
    <col min="15628" max="15628" width="11.85546875" style="349" customWidth="1"/>
    <col min="15629" max="15629" width="10.7109375" style="349" customWidth="1"/>
    <col min="15630" max="15630" width="10.28515625" style="349" customWidth="1"/>
    <col min="15631" max="15631" width="11.28515625" style="349" customWidth="1"/>
    <col min="15632" max="15632" width="10.42578125" style="349" customWidth="1"/>
    <col min="15633" max="15633" width="10.28515625" style="349" customWidth="1"/>
    <col min="15634" max="15634" width="12.5703125" style="349" customWidth="1"/>
    <col min="15635" max="15635" width="10.85546875" style="349" customWidth="1"/>
    <col min="15636" max="15636" width="10.28515625" style="349" customWidth="1"/>
    <col min="15637" max="15637" width="12.5703125" style="349" customWidth="1"/>
    <col min="15638" max="15638" width="10.85546875" style="349" customWidth="1"/>
    <col min="15639" max="15639" width="10.28515625" style="349" customWidth="1"/>
    <col min="15640" max="15640" width="12.140625" style="349" customWidth="1"/>
    <col min="15641" max="15642" width="10.28515625" style="349" customWidth="1"/>
    <col min="15643" max="15643" width="10.85546875" style="349" customWidth="1"/>
    <col min="15644" max="15645" width="11.85546875" style="349" customWidth="1"/>
    <col min="15646" max="15875" width="9.140625" style="349"/>
    <col min="15876" max="15876" width="5.85546875" style="349" customWidth="1"/>
    <col min="15877" max="15877" width="26.28515625" style="349" customWidth="1"/>
    <col min="15878" max="15878" width="11.7109375" style="349" customWidth="1"/>
    <col min="15879" max="15879" width="11.28515625" style="349" customWidth="1"/>
    <col min="15880" max="15880" width="10.28515625" style="349" customWidth="1"/>
    <col min="15881" max="15881" width="11.7109375" style="349" customWidth="1"/>
    <col min="15882" max="15882" width="11.140625" style="349" customWidth="1"/>
    <col min="15883" max="15883" width="10.28515625" style="349" customWidth="1"/>
    <col min="15884" max="15884" width="11.85546875" style="349" customWidth="1"/>
    <col min="15885" max="15885" width="10.7109375" style="349" customWidth="1"/>
    <col min="15886" max="15886" width="10.28515625" style="349" customWidth="1"/>
    <col min="15887" max="15887" width="11.28515625" style="349" customWidth="1"/>
    <col min="15888" max="15888" width="10.42578125" style="349" customWidth="1"/>
    <col min="15889" max="15889" width="10.28515625" style="349" customWidth="1"/>
    <col min="15890" max="15890" width="12.5703125" style="349" customWidth="1"/>
    <col min="15891" max="15891" width="10.85546875" style="349" customWidth="1"/>
    <col min="15892" max="15892" width="10.28515625" style="349" customWidth="1"/>
    <col min="15893" max="15893" width="12.5703125" style="349" customWidth="1"/>
    <col min="15894" max="15894" width="10.85546875" style="349" customWidth="1"/>
    <col min="15895" max="15895" width="10.28515625" style="349" customWidth="1"/>
    <col min="15896" max="15896" width="12.140625" style="349" customWidth="1"/>
    <col min="15897" max="15898" width="10.28515625" style="349" customWidth="1"/>
    <col min="15899" max="15899" width="10.85546875" style="349" customWidth="1"/>
    <col min="15900" max="15901" width="11.85546875" style="349" customWidth="1"/>
    <col min="15902" max="16131" width="9.140625" style="349"/>
    <col min="16132" max="16132" width="5.85546875" style="349" customWidth="1"/>
    <col min="16133" max="16133" width="26.28515625" style="349" customWidth="1"/>
    <col min="16134" max="16134" width="11.7109375" style="349" customWidth="1"/>
    <col min="16135" max="16135" width="11.28515625" style="349" customWidth="1"/>
    <col min="16136" max="16136" width="10.28515625" style="349" customWidth="1"/>
    <col min="16137" max="16137" width="11.7109375" style="349" customWidth="1"/>
    <col min="16138" max="16138" width="11.140625" style="349" customWidth="1"/>
    <col min="16139" max="16139" width="10.28515625" style="349" customWidth="1"/>
    <col min="16140" max="16140" width="11.85546875" style="349" customWidth="1"/>
    <col min="16141" max="16141" width="10.7109375" style="349" customWidth="1"/>
    <col min="16142" max="16142" width="10.28515625" style="349" customWidth="1"/>
    <col min="16143" max="16143" width="11.28515625" style="349" customWidth="1"/>
    <col min="16144" max="16144" width="10.42578125" style="349" customWidth="1"/>
    <col min="16145" max="16145" width="10.28515625" style="349" customWidth="1"/>
    <col min="16146" max="16146" width="12.5703125" style="349" customWidth="1"/>
    <col min="16147" max="16147" width="10.85546875" style="349" customWidth="1"/>
    <col min="16148" max="16148" width="10.28515625" style="349" customWidth="1"/>
    <col min="16149" max="16149" width="12.5703125" style="349" customWidth="1"/>
    <col min="16150" max="16150" width="10.85546875" style="349" customWidth="1"/>
    <col min="16151" max="16151" width="10.28515625" style="349" customWidth="1"/>
    <col min="16152" max="16152" width="12.140625" style="349" customWidth="1"/>
    <col min="16153" max="16154" width="10.28515625" style="349" customWidth="1"/>
    <col min="16155" max="16155" width="10.85546875" style="349" customWidth="1"/>
    <col min="16156" max="16157" width="11.85546875" style="349" customWidth="1"/>
    <col min="16158" max="16384" width="9.140625" style="349"/>
  </cols>
  <sheetData>
    <row r="1" spans="1:32" ht="21" customHeight="1">
      <c r="A1" s="344"/>
      <c r="B1" s="344"/>
      <c r="C1" s="346"/>
      <c r="D1" s="346"/>
      <c r="E1" s="346"/>
      <c r="F1" s="346"/>
      <c r="G1" s="347"/>
      <c r="H1" s="348"/>
      <c r="I1" s="346"/>
      <c r="J1" s="347"/>
      <c r="K1" s="1197" t="s">
        <v>1009</v>
      </c>
      <c r="L1" s="1197"/>
      <c r="M1" s="1197"/>
      <c r="N1" s="1197"/>
      <c r="O1" s="1197"/>
      <c r="P1" s="1197"/>
      <c r="Q1" s="1197"/>
      <c r="R1" s="1197"/>
      <c r="S1" s="1197"/>
      <c r="T1" s="1197"/>
      <c r="U1" s="1197"/>
      <c r="V1" s="1197"/>
      <c r="W1" s="1197"/>
      <c r="X1" s="1197"/>
      <c r="Y1" s="1197"/>
      <c r="Z1" s="1197"/>
      <c r="AA1" s="1197"/>
      <c r="AB1" s="1197"/>
      <c r="AC1" s="1197"/>
    </row>
    <row r="2" spans="1:32" ht="40.5" customHeight="1">
      <c r="A2" s="1211" t="s">
        <v>1049</v>
      </c>
      <c r="B2" s="1198"/>
      <c r="C2" s="1198"/>
      <c r="D2" s="1198"/>
      <c r="E2" s="1198"/>
      <c r="F2" s="1198"/>
      <c r="G2" s="1198"/>
      <c r="H2" s="1198"/>
      <c r="I2" s="1198"/>
      <c r="J2" s="1198"/>
      <c r="K2" s="1198"/>
      <c r="L2" s="1198"/>
      <c r="M2" s="1198"/>
      <c r="N2" s="1198"/>
      <c r="O2" s="1198"/>
      <c r="P2" s="1198"/>
      <c r="Q2" s="1198"/>
      <c r="R2" s="1198"/>
      <c r="S2" s="1198"/>
      <c r="T2" s="1198"/>
      <c r="U2" s="1198"/>
      <c r="V2" s="1198"/>
      <c r="W2" s="1198"/>
      <c r="X2" s="1198"/>
      <c r="Y2" s="1198"/>
      <c r="Z2" s="1198"/>
      <c r="AA2" s="1198"/>
      <c r="AB2" s="1198"/>
      <c r="AC2" s="1198"/>
    </row>
    <row r="3" spans="1:32" ht="18.75">
      <c r="A3" s="1148" t="s">
        <v>1050</v>
      </c>
      <c r="B3" s="1148"/>
      <c r="C3" s="1148"/>
      <c r="D3" s="1148"/>
      <c r="E3" s="1148"/>
      <c r="F3" s="1148"/>
      <c r="G3" s="1148"/>
      <c r="H3" s="1148"/>
      <c r="I3" s="1148"/>
      <c r="J3" s="1148"/>
      <c r="K3" s="1148"/>
      <c r="L3" s="1148"/>
      <c r="M3" s="1148"/>
      <c r="N3" s="1148"/>
      <c r="O3" s="1148"/>
      <c r="P3" s="1148"/>
      <c r="Q3" s="1148"/>
      <c r="R3" s="1148"/>
      <c r="S3" s="1148"/>
      <c r="T3" s="1148"/>
      <c r="U3" s="1148"/>
      <c r="V3" s="1148"/>
      <c r="W3" s="1148"/>
      <c r="X3" s="1148"/>
      <c r="Y3" s="1148"/>
      <c r="Z3" s="1148"/>
      <c r="AA3" s="1148"/>
      <c r="AB3" s="1148"/>
      <c r="AC3" s="1148"/>
    </row>
    <row r="4" spans="1:32" ht="14.25" customHeight="1">
      <c r="A4" s="380"/>
      <c r="B4" s="380"/>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32" ht="19.5" customHeight="1">
      <c r="A5" s="351"/>
      <c r="B5" s="351"/>
      <c r="C5" s="353"/>
      <c r="D5" s="353"/>
      <c r="E5" s="370"/>
      <c r="F5" s="353"/>
      <c r="G5" s="1200"/>
      <c r="H5" s="1200"/>
      <c r="I5" s="353"/>
      <c r="J5" s="1218" t="s">
        <v>2</v>
      </c>
      <c r="K5" s="1218"/>
      <c r="L5" s="1218"/>
      <c r="M5" s="1218"/>
      <c r="N5" s="1218"/>
      <c r="O5" s="1218"/>
      <c r="P5" s="1218"/>
      <c r="Q5" s="1218"/>
      <c r="R5" s="1218"/>
      <c r="S5" s="1218"/>
      <c r="T5" s="1218"/>
      <c r="U5" s="1218"/>
      <c r="V5" s="1218"/>
      <c r="W5" s="1218"/>
      <c r="X5" s="1218"/>
      <c r="Y5" s="1218"/>
      <c r="Z5" s="1218"/>
      <c r="AA5" s="1218"/>
      <c r="AB5" s="1218"/>
      <c r="AC5" s="1218"/>
    </row>
    <row r="6" spans="1:32" s="301" customFormat="1" ht="199.5" customHeight="1">
      <c r="A6" s="1214" t="s">
        <v>3</v>
      </c>
      <c r="B6" s="1209" t="s">
        <v>1010</v>
      </c>
      <c r="C6" s="1201" t="s">
        <v>89</v>
      </c>
      <c r="D6" s="1201"/>
      <c r="E6" s="1201"/>
      <c r="F6" s="1202" t="s">
        <v>1011</v>
      </c>
      <c r="G6" s="1202"/>
      <c r="H6" s="1202"/>
      <c r="I6" s="1202" t="s">
        <v>1012</v>
      </c>
      <c r="J6" s="1202"/>
      <c r="K6" s="1202"/>
      <c r="L6" s="1202" t="s">
        <v>1013</v>
      </c>
      <c r="M6" s="1202"/>
      <c r="N6" s="1202"/>
      <c r="O6" s="1202" t="s">
        <v>1014</v>
      </c>
      <c r="P6" s="1202"/>
      <c r="Q6" s="1202"/>
      <c r="R6" s="1202" t="s">
        <v>1015</v>
      </c>
      <c r="S6" s="1202"/>
      <c r="T6" s="1202"/>
      <c r="U6" s="1212" t="s">
        <v>1051</v>
      </c>
      <c r="V6" s="1219"/>
      <c r="W6" s="1213"/>
      <c r="X6" s="1212" t="s">
        <v>1016</v>
      </c>
      <c r="Y6" s="1219"/>
      <c r="Z6" s="1213"/>
      <c r="AA6" s="1220" t="s">
        <v>1017</v>
      </c>
      <c r="AB6" s="1221"/>
      <c r="AC6" s="1222"/>
      <c r="AD6" s="1220" t="s">
        <v>1052</v>
      </c>
      <c r="AE6" s="1221"/>
      <c r="AF6" s="1222"/>
    </row>
    <row r="7" spans="1:32" s="301" customFormat="1" ht="23.25" customHeight="1">
      <c r="A7" s="1215"/>
      <c r="B7" s="1215"/>
      <c r="C7" s="1214" t="s">
        <v>89</v>
      </c>
      <c r="D7" s="1209" t="s">
        <v>384</v>
      </c>
      <c r="E7" s="1209" t="s">
        <v>386</v>
      </c>
      <c r="F7" s="1214" t="s">
        <v>89</v>
      </c>
      <c r="G7" s="1209" t="s">
        <v>384</v>
      </c>
      <c r="H7" s="1209" t="s">
        <v>386</v>
      </c>
      <c r="I7" s="1214" t="s">
        <v>89</v>
      </c>
      <c r="J7" s="1209" t="s">
        <v>384</v>
      </c>
      <c r="K7" s="1209" t="s">
        <v>386</v>
      </c>
      <c r="L7" s="1214" t="s">
        <v>89</v>
      </c>
      <c r="M7" s="1209" t="s">
        <v>384</v>
      </c>
      <c r="N7" s="1209" t="s">
        <v>386</v>
      </c>
      <c r="O7" s="1214" t="s">
        <v>89</v>
      </c>
      <c r="P7" s="1209" t="s">
        <v>384</v>
      </c>
      <c r="Q7" s="1209" t="s">
        <v>386</v>
      </c>
      <c r="R7" s="1214" t="s">
        <v>89</v>
      </c>
      <c r="S7" s="1209" t="s">
        <v>384</v>
      </c>
      <c r="T7" s="1209" t="s">
        <v>386</v>
      </c>
      <c r="U7" s="1214" t="s">
        <v>89</v>
      </c>
      <c r="V7" s="1209" t="s">
        <v>384</v>
      </c>
      <c r="W7" s="1209" t="s">
        <v>386</v>
      </c>
      <c r="X7" s="1214" t="s">
        <v>89</v>
      </c>
      <c r="Y7" s="1209" t="s">
        <v>384</v>
      </c>
      <c r="Z7" s="1209" t="s">
        <v>386</v>
      </c>
      <c r="AA7" s="1214" t="s">
        <v>89</v>
      </c>
      <c r="AB7" s="1209" t="s">
        <v>384</v>
      </c>
      <c r="AC7" s="1209" t="s">
        <v>386</v>
      </c>
      <c r="AD7" s="1214" t="s">
        <v>89</v>
      </c>
      <c r="AE7" s="1209" t="s">
        <v>384</v>
      </c>
      <c r="AF7" s="1209" t="s">
        <v>386</v>
      </c>
    </row>
    <row r="8" spans="1:32" s="301" customFormat="1" ht="23.25" customHeight="1">
      <c r="A8" s="1215"/>
      <c r="B8" s="1215"/>
      <c r="C8" s="1215"/>
      <c r="D8" s="1217"/>
      <c r="E8" s="1217"/>
      <c r="F8" s="1215"/>
      <c r="G8" s="1217"/>
      <c r="H8" s="1217"/>
      <c r="I8" s="1215"/>
      <c r="J8" s="1217"/>
      <c r="K8" s="1217"/>
      <c r="L8" s="1215"/>
      <c r="M8" s="1217"/>
      <c r="N8" s="1217"/>
      <c r="O8" s="1215"/>
      <c r="P8" s="1217"/>
      <c r="Q8" s="1217"/>
      <c r="R8" s="1215"/>
      <c r="S8" s="1217"/>
      <c r="T8" s="1217"/>
      <c r="U8" s="1215"/>
      <c r="V8" s="1217"/>
      <c r="W8" s="1217"/>
      <c r="X8" s="1215"/>
      <c r="Y8" s="1217"/>
      <c r="Z8" s="1217"/>
      <c r="AA8" s="1215"/>
      <c r="AB8" s="1217"/>
      <c r="AC8" s="1217"/>
      <c r="AD8" s="1215"/>
      <c r="AE8" s="1217"/>
      <c r="AF8" s="1217"/>
    </row>
    <row r="9" spans="1:32" s="301" customFormat="1" ht="11.25" customHeight="1">
      <c r="A9" s="1216"/>
      <c r="B9" s="1216"/>
      <c r="C9" s="1216"/>
      <c r="D9" s="1210"/>
      <c r="E9" s="1210"/>
      <c r="F9" s="1216"/>
      <c r="G9" s="1210"/>
      <c r="H9" s="1210"/>
      <c r="I9" s="1216"/>
      <c r="J9" s="1210"/>
      <c r="K9" s="1210"/>
      <c r="L9" s="1216"/>
      <c r="M9" s="1210"/>
      <c r="N9" s="1210"/>
      <c r="O9" s="1216"/>
      <c r="P9" s="1210"/>
      <c r="Q9" s="1210"/>
      <c r="R9" s="1216"/>
      <c r="S9" s="1210"/>
      <c r="T9" s="1210"/>
      <c r="U9" s="1216"/>
      <c r="V9" s="1210"/>
      <c r="W9" s="1210"/>
      <c r="X9" s="1216"/>
      <c r="Y9" s="1210"/>
      <c r="Z9" s="1210"/>
      <c r="AA9" s="1216"/>
      <c r="AB9" s="1210"/>
      <c r="AC9" s="1210"/>
      <c r="AD9" s="1216"/>
      <c r="AE9" s="1210"/>
      <c r="AF9" s="1210"/>
    </row>
    <row r="10" spans="1:32" s="358" customFormat="1" ht="41.25" customHeight="1">
      <c r="A10" s="355" t="s">
        <v>10</v>
      </c>
      <c r="B10" s="355" t="s">
        <v>11</v>
      </c>
      <c r="C10" s="355" t="s">
        <v>350</v>
      </c>
      <c r="D10" s="355">
        <v>2</v>
      </c>
      <c r="E10" s="355">
        <f t="shared" ref="E10:K10" si="0">D10+1</f>
        <v>3</v>
      </c>
      <c r="F10" s="355" t="s">
        <v>783</v>
      </c>
      <c r="G10" s="355">
        <v>5</v>
      </c>
      <c r="H10" s="355">
        <f t="shared" si="0"/>
        <v>6</v>
      </c>
      <c r="I10" s="355" t="s">
        <v>1018</v>
      </c>
      <c r="J10" s="355">
        <v>8</v>
      </c>
      <c r="K10" s="355">
        <f t="shared" si="0"/>
        <v>9</v>
      </c>
      <c r="L10" s="355" t="s">
        <v>1019</v>
      </c>
      <c r="M10" s="355">
        <v>11</v>
      </c>
      <c r="N10" s="355">
        <f>M10+1</f>
        <v>12</v>
      </c>
      <c r="O10" s="355" t="s">
        <v>1020</v>
      </c>
      <c r="P10" s="355">
        <v>14</v>
      </c>
      <c r="Q10" s="355">
        <f>P10+1</f>
        <v>15</v>
      </c>
      <c r="R10" s="355" t="s">
        <v>1021</v>
      </c>
      <c r="S10" s="355">
        <v>17</v>
      </c>
      <c r="T10" s="355">
        <f>S10+1</f>
        <v>18</v>
      </c>
      <c r="U10" s="355" t="s">
        <v>1022</v>
      </c>
      <c r="V10" s="355">
        <v>20</v>
      </c>
      <c r="W10" s="355">
        <v>21</v>
      </c>
      <c r="X10" s="355" t="s">
        <v>1023</v>
      </c>
      <c r="Y10" s="355">
        <v>23</v>
      </c>
      <c r="Z10" s="355">
        <v>24</v>
      </c>
      <c r="AA10" s="355" t="s">
        <v>1022</v>
      </c>
      <c r="AB10" s="355">
        <v>20</v>
      </c>
      <c r="AC10" s="355">
        <v>21</v>
      </c>
      <c r="AD10" s="355" t="s">
        <v>1023</v>
      </c>
      <c r="AE10" s="355">
        <v>23</v>
      </c>
      <c r="AF10" s="355">
        <v>24</v>
      </c>
    </row>
    <row r="11" spans="1:32" s="381" customFormat="1" ht="30.75" customHeight="1">
      <c r="A11" s="371"/>
      <c r="B11" s="372" t="s">
        <v>102</v>
      </c>
      <c r="C11" s="373">
        <f>SUM(C12:C21)</f>
        <v>231275</v>
      </c>
      <c r="D11" s="373">
        <f t="shared" ref="D11:Z11" si="1">SUM(D12:D21)</f>
        <v>231275</v>
      </c>
      <c r="E11" s="373">
        <f t="shared" si="1"/>
        <v>0</v>
      </c>
      <c r="F11" s="373">
        <f t="shared" si="1"/>
        <v>71991</v>
      </c>
      <c r="G11" s="373">
        <f t="shared" si="1"/>
        <v>71991</v>
      </c>
      <c r="H11" s="373">
        <f t="shared" si="1"/>
        <v>0</v>
      </c>
      <c r="I11" s="373">
        <f t="shared" si="1"/>
        <v>30830</v>
      </c>
      <c r="J11" s="373">
        <f t="shared" si="1"/>
        <v>30830</v>
      </c>
      <c r="K11" s="373">
        <f t="shared" si="1"/>
        <v>0</v>
      </c>
      <c r="L11" s="373">
        <f t="shared" si="1"/>
        <v>30999</v>
      </c>
      <c r="M11" s="373">
        <f t="shared" si="1"/>
        <v>30999</v>
      </c>
      <c r="N11" s="373">
        <f t="shared" si="1"/>
        <v>0</v>
      </c>
      <c r="O11" s="373">
        <f t="shared" si="1"/>
        <v>11955</v>
      </c>
      <c r="P11" s="373">
        <f t="shared" si="1"/>
        <v>11955</v>
      </c>
      <c r="Q11" s="373">
        <f t="shared" si="1"/>
        <v>0</v>
      </c>
      <c r="R11" s="373">
        <f t="shared" si="1"/>
        <v>7500</v>
      </c>
      <c r="S11" s="373">
        <f t="shared" si="1"/>
        <v>7500</v>
      </c>
      <c r="T11" s="373">
        <f t="shared" si="1"/>
        <v>0</v>
      </c>
      <c r="U11" s="373">
        <f t="shared" ref="U11:W11" si="2">SUM(U12:U21)</f>
        <v>0</v>
      </c>
      <c r="V11" s="373">
        <f t="shared" si="2"/>
        <v>0</v>
      </c>
      <c r="W11" s="373">
        <f t="shared" si="2"/>
        <v>0</v>
      </c>
      <c r="X11" s="373">
        <f t="shared" si="1"/>
        <v>0</v>
      </c>
      <c r="Y11" s="373">
        <f t="shared" si="1"/>
        <v>0</v>
      </c>
      <c r="Z11" s="373">
        <f t="shared" si="1"/>
        <v>0</v>
      </c>
      <c r="AA11" s="373">
        <f t="shared" ref="AA11:AF11" si="3">SUM(AA12:AA21)</f>
        <v>20000</v>
      </c>
      <c r="AB11" s="373">
        <f t="shared" si="3"/>
        <v>20000</v>
      </c>
      <c r="AC11" s="373">
        <f t="shared" si="3"/>
        <v>0</v>
      </c>
      <c r="AD11" s="373">
        <f t="shared" si="3"/>
        <v>58000</v>
      </c>
      <c r="AE11" s="373">
        <f t="shared" si="3"/>
        <v>58000</v>
      </c>
      <c r="AF11" s="373">
        <f t="shared" si="3"/>
        <v>0</v>
      </c>
    </row>
    <row r="12" spans="1:32" s="353" customFormat="1" ht="30.75" customHeight="1">
      <c r="A12" s="375">
        <v>1</v>
      </c>
      <c r="B12" s="376" t="s">
        <v>613</v>
      </c>
      <c r="C12" s="377">
        <f>D12+E12</f>
        <v>73230</v>
      </c>
      <c r="D12" s="377">
        <f>G12+J12+M12+P12+S12+Y12+AB12+AE12+V12</f>
        <v>73230</v>
      </c>
      <c r="E12" s="377">
        <f>H12+K12+N12+Q12+T12+Z12</f>
        <v>0</v>
      </c>
      <c r="F12" s="377">
        <f>G12+H12</f>
        <v>33700</v>
      </c>
      <c r="G12" s="377">
        <v>33700</v>
      </c>
      <c r="H12" s="377"/>
      <c r="I12" s="377">
        <f>J12+K12</f>
        <v>4575</v>
      </c>
      <c r="J12" s="377">
        <v>4575</v>
      </c>
      <c r="K12" s="377"/>
      <c r="L12" s="377">
        <f>M12+N12</f>
        <v>10400</v>
      </c>
      <c r="M12" s="377">
        <v>10400</v>
      </c>
      <c r="N12" s="377"/>
      <c r="O12" s="377">
        <f>P12+Q12</f>
        <v>11955</v>
      </c>
      <c r="P12" s="377">
        <v>11955</v>
      </c>
      <c r="Q12" s="377"/>
      <c r="R12" s="377">
        <f>S12+T12</f>
        <v>0</v>
      </c>
      <c r="S12" s="377"/>
      <c r="T12" s="377"/>
      <c r="U12" s="377">
        <f>V12+W12</f>
        <v>0</v>
      </c>
      <c r="V12" s="377"/>
      <c r="W12" s="377"/>
      <c r="X12" s="377">
        <f>Y12+Z12</f>
        <v>0</v>
      </c>
      <c r="Y12" s="377"/>
      <c r="Z12" s="377"/>
      <c r="AA12" s="377">
        <f>AB12+AC12</f>
        <v>4000</v>
      </c>
      <c r="AB12" s="377">
        <v>4000</v>
      </c>
      <c r="AC12" s="377"/>
      <c r="AD12" s="377">
        <f>AE12+AF12</f>
        <v>8600</v>
      </c>
      <c r="AE12" s="377">
        <v>8600</v>
      </c>
      <c r="AF12" s="377"/>
    </row>
    <row r="13" spans="1:32" s="353" customFormat="1" ht="30.75" customHeight="1">
      <c r="A13" s="375">
        <f>A12+1</f>
        <v>2</v>
      </c>
      <c r="B13" s="376" t="s">
        <v>612</v>
      </c>
      <c r="C13" s="377">
        <f t="shared" ref="C13:C21" si="4">D13+E13</f>
        <v>23125</v>
      </c>
      <c r="D13" s="377">
        <f t="shared" ref="D13:D21" si="5">G13+J13+M13+P13+S13+Y13+AB13+AE13+V13</f>
        <v>23125</v>
      </c>
      <c r="E13" s="377">
        <f t="shared" ref="E13:E21" si="6">H13+K13+N13+Q13+T13+Z13</f>
        <v>0</v>
      </c>
      <c r="F13" s="377">
        <f t="shared" ref="F13:F21" si="7">G13+H13</f>
        <v>0</v>
      </c>
      <c r="G13" s="377"/>
      <c r="H13" s="377"/>
      <c r="I13" s="377">
        <f t="shared" ref="I13:I21" si="8">J13+K13</f>
        <v>4725</v>
      </c>
      <c r="J13" s="377">
        <v>4725</v>
      </c>
      <c r="K13" s="377"/>
      <c r="L13" s="377">
        <f t="shared" ref="L13:L21" si="9">M13+N13</f>
        <v>11800</v>
      </c>
      <c r="M13" s="377">
        <v>11800</v>
      </c>
      <c r="N13" s="377"/>
      <c r="O13" s="377">
        <f t="shared" ref="O13:O21" si="10">P13+Q13</f>
        <v>0</v>
      </c>
      <c r="P13" s="377"/>
      <c r="Q13" s="377"/>
      <c r="R13" s="377">
        <f t="shared" ref="R13:R21" si="11">S13+T13</f>
        <v>0</v>
      </c>
      <c r="S13" s="377"/>
      <c r="T13" s="377"/>
      <c r="U13" s="377">
        <f t="shared" ref="U13:U21" si="12">V13+W13</f>
        <v>0</v>
      </c>
      <c r="V13" s="377"/>
      <c r="W13" s="377"/>
      <c r="X13" s="377">
        <f t="shared" ref="X13:X21" si="13">Y13+Z13</f>
        <v>0</v>
      </c>
      <c r="Y13" s="377"/>
      <c r="Z13" s="377"/>
      <c r="AA13" s="377">
        <f t="shared" ref="AA13:AA21" si="14">AB13+AC13</f>
        <v>1500</v>
      </c>
      <c r="AB13" s="377">
        <v>1500</v>
      </c>
      <c r="AC13" s="377"/>
      <c r="AD13" s="377">
        <f t="shared" ref="AD13:AD21" si="15">AE13+AF13</f>
        <v>5100</v>
      </c>
      <c r="AE13" s="377">
        <v>5100</v>
      </c>
      <c r="AF13" s="377"/>
    </row>
    <row r="14" spans="1:32" s="353" customFormat="1" ht="30.75" customHeight="1">
      <c r="A14" s="375">
        <f t="shared" ref="A14:A21" si="16">A13+1</f>
        <v>3</v>
      </c>
      <c r="B14" s="376" t="s">
        <v>611</v>
      </c>
      <c r="C14" s="377">
        <f t="shared" si="4"/>
        <v>19859</v>
      </c>
      <c r="D14" s="377">
        <f t="shared" si="5"/>
        <v>19859</v>
      </c>
      <c r="E14" s="377">
        <f t="shared" si="6"/>
        <v>0</v>
      </c>
      <c r="F14" s="377">
        <f t="shared" si="7"/>
        <v>0</v>
      </c>
      <c r="G14" s="377"/>
      <c r="H14" s="377"/>
      <c r="I14" s="377">
        <f t="shared" si="8"/>
        <v>2060</v>
      </c>
      <c r="J14" s="377">
        <v>2060</v>
      </c>
      <c r="K14" s="377"/>
      <c r="L14" s="377">
        <f t="shared" si="9"/>
        <v>8799</v>
      </c>
      <c r="M14" s="377">
        <v>8799</v>
      </c>
      <c r="N14" s="377"/>
      <c r="O14" s="377">
        <f t="shared" si="10"/>
        <v>0</v>
      </c>
      <c r="P14" s="377"/>
      <c r="Q14" s="377"/>
      <c r="R14" s="377">
        <f t="shared" si="11"/>
        <v>2500</v>
      </c>
      <c r="S14" s="377">
        <v>2500</v>
      </c>
      <c r="T14" s="377"/>
      <c r="U14" s="377">
        <f t="shared" si="12"/>
        <v>0</v>
      </c>
      <c r="V14" s="377"/>
      <c r="W14" s="377"/>
      <c r="X14" s="377">
        <f t="shared" si="13"/>
        <v>0</v>
      </c>
      <c r="Y14" s="377"/>
      <c r="Z14" s="377"/>
      <c r="AA14" s="377">
        <f t="shared" si="14"/>
        <v>1500</v>
      </c>
      <c r="AB14" s="377">
        <v>1500</v>
      </c>
      <c r="AC14" s="377"/>
      <c r="AD14" s="377">
        <f t="shared" si="15"/>
        <v>5000</v>
      </c>
      <c r="AE14" s="377">
        <v>5000</v>
      </c>
      <c r="AF14" s="377"/>
    </row>
    <row r="15" spans="1:32" s="353" customFormat="1" ht="30.75" customHeight="1">
      <c r="A15" s="375">
        <f t="shared" si="16"/>
        <v>4</v>
      </c>
      <c r="B15" s="376" t="s">
        <v>610</v>
      </c>
      <c r="C15" s="377">
        <f t="shared" si="4"/>
        <v>12310</v>
      </c>
      <c r="D15" s="377">
        <f t="shared" si="5"/>
        <v>12310</v>
      </c>
      <c r="E15" s="377">
        <f t="shared" si="6"/>
        <v>0</v>
      </c>
      <c r="F15" s="377">
        <f t="shared" si="7"/>
        <v>0</v>
      </c>
      <c r="G15" s="377"/>
      <c r="H15" s="377"/>
      <c r="I15" s="377">
        <f t="shared" si="8"/>
        <v>3010</v>
      </c>
      <c r="J15" s="377">
        <v>3010</v>
      </c>
      <c r="K15" s="377"/>
      <c r="L15" s="377">
        <f t="shared" si="9"/>
        <v>0</v>
      </c>
      <c r="M15" s="377"/>
      <c r="N15" s="377"/>
      <c r="O15" s="377">
        <f t="shared" si="10"/>
        <v>0</v>
      </c>
      <c r="P15" s="377"/>
      <c r="Q15" s="377"/>
      <c r="R15" s="377">
        <f t="shared" si="11"/>
        <v>0</v>
      </c>
      <c r="S15" s="377"/>
      <c r="T15" s="377"/>
      <c r="U15" s="377">
        <f t="shared" si="12"/>
        <v>0</v>
      </c>
      <c r="V15" s="377"/>
      <c r="W15" s="377"/>
      <c r="X15" s="377">
        <f t="shared" si="13"/>
        <v>0</v>
      </c>
      <c r="Y15" s="377"/>
      <c r="Z15" s="377"/>
      <c r="AA15" s="377">
        <f t="shared" si="14"/>
        <v>2000</v>
      </c>
      <c r="AB15" s="377">
        <v>2000</v>
      </c>
      <c r="AC15" s="377"/>
      <c r="AD15" s="377">
        <f t="shared" si="15"/>
        <v>7300</v>
      </c>
      <c r="AE15" s="377">
        <v>7300</v>
      </c>
      <c r="AF15" s="377"/>
    </row>
    <row r="16" spans="1:32" s="353" customFormat="1" ht="30.75" customHeight="1">
      <c r="A16" s="375">
        <f t="shared" si="16"/>
        <v>5</v>
      </c>
      <c r="B16" s="376" t="s">
        <v>609</v>
      </c>
      <c r="C16" s="377">
        <f t="shared" si="4"/>
        <v>9470</v>
      </c>
      <c r="D16" s="377">
        <f t="shared" si="5"/>
        <v>9470</v>
      </c>
      <c r="E16" s="377">
        <f t="shared" si="6"/>
        <v>0</v>
      </c>
      <c r="F16" s="377">
        <f t="shared" si="7"/>
        <v>0</v>
      </c>
      <c r="G16" s="377"/>
      <c r="H16" s="377"/>
      <c r="I16" s="377">
        <f t="shared" si="8"/>
        <v>2870</v>
      </c>
      <c r="J16" s="377">
        <v>2870</v>
      </c>
      <c r="K16" s="377"/>
      <c r="L16" s="377">
        <f t="shared" si="9"/>
        <v>0</v>
      </c>
      <c r="M16" s="377"/>
      <c r="N16" s="377"/>
      <c r="O16" s="377">
        <f t="shared" si="10"/>
        <v>0</v>
      </c>
      <c r="P16" s="377"/>
      <c r="Q16" s="377"/>
      <c r="R16" s="377">
        <f t="shared" si="11"/>
        <v>0</v>
      </c>
      <c r="S16" s="377"/>
      <c r="T16" s="377"/>
      <c r="U16" s="377">
        <f t="shared" si="12"/>
        <v>0</v>
      </c>
      <c r="V16" s="377"/>
      <c r="W16" s="377"/>
      <c r="X16" s="377">
        <f t="shared" si="13"/>
        <v>0</v>
      </c>
      <c r="Y16" s="377"/>
      <c r="Z16" s="377"/>
      <c r="AA16" s="377">
        <f t="shared" si="14"/>
        <v>1500</v>
      </c>
      <c r="AB16" s="377">
        <v>1500</v>
      </c>
      <c r="AC16" s="377"/>
      <c r="AD16" s="377">
        <f t="shared" si="15"/>
        <v>5100</v>
      </c>
      <c r="AE16" s="377">
        <v>5100</v>
      </c>
      <c r="AF16" s="377"/>
    </row>
    <row r="17" spans="1:32" s="353" customFormat="1" ht="30.75" customHeight="1">
      <c r="A17" s="375">
        <f t="shared" si="16"/>
        <v>6</v>
      </c>
      <c r="B17" s="376" t="s">
        <v>608</v>
      </c>
      <c r="C17" s="377">
        <f t="shared" si="4"/>
        <v>9065</v>
      </c>
      <c r="D17" s="377">
        <f t="shared" si="5"/>
        <v>9065</v>
      </c>
      <c r="E17" s="377">
        <f t="shared" si="6"/>
        <v>0</v>
      </c>
      <c r="F17" s="377">
        <f t="shared" si="7"/>
        <v>0</v>
      </c>
      <c r="G17" s="377"/>
      <c r="H17" s="377"/>
      <c r="I17" s="377">
        <f t="shared" si="8"/>
        <v>2665</v>
      </c>
      <c r="J17" s="377">
        <v>2665</v>
      </c>
      <c r="K17" s="377"/>
      <c r="L17" s="377">
        <f t="shared" si="9"/>
        <v>0</v>
      </c>
      <c r="M17" s="377"/>
      <c r="N17" s="377"/>
      <c r="O17" s="377">
        <f t="shared" si="10"/>
        <v>0</v>
      </c>
      <c r="P17" s="377"/>
      <c r="Q17" s="377"/>
      <c r="R17" s="377">
        <f t="shared" si="11"/>
        <v>0</v>
      </c>
      <c r="S17" s="377"/>
      <c r="T17" s="377"/>
      <c r="U17" s="377">
        <f t="shared" si="12"/>
        <v>0</v>
      </c>
      <c r="V17" s="377"/>
      <c r="W17" s="377"/>
      <c r="X17" s="377">
        <f t="shared" si="13"/>
        <v>0</v>
      </c>
      <c r="Y17" s="377"/>
      <c r="Z17" s="377"/>
      <c r="AA17" s="377">
        <f t="shared" si="14"/>
        <v>1500</v>
      </c>
      <c r="AB17" s="377">
        <v>1500</v>
      </c>
      <c r="AC17" s="377"/>
      <c r="AD17" s="377">
        <f t="shared" si="15"/>
        <v>4900</v>
      </c>
      <c r="AE17" s="377">
        <v>4900</v>
      </c>
      <c r="AF17" s="377"/>
    </row>
    <row r="18" spans="1:32" s="353" customFormat="1" ht="30.75" customHeight="1">
      <c r="A18" s="375">
        <f t="shared" si="16"/>
        <v>7</v>
      </c>
      <c r="B18" s="376" t="s">
        <v>744</v>
      </c>
      <c r="C18" s="377">
        <f t="shared" si="4"/>
        <v>9270</v>
      </c>
      <c r="D18" s="377">
        <f t="shared" si="5"/>
        <v>9270</v>
      </c>
      <c r="E18" s="377">
        <f t="shared" si="6"/>
        <v>0</v>
      </c>
      <c r="F18" s="377">
        <f t="shared" si="7"/>
        <v>0</v>
      </c>
      <c r="G18" s="377"/>
      <c r="H18" s="377"/>
      <c r="I18" s="377">
        <f t="shared" si="8"/>
        <v>2670</v>
      </c>
      <c r="J18" s="377">
        <v>2670</v>
      </c>
      <c r="K18" s="377"/>
      <c r="L18" s="377">
        <f t="shared" si="9"/>
        <v>0</v>
      </c>
      <c r="M18" s="377"/>
      <c r="N18" s="377"/>
      <c r="O18" s="377">
        <f t="shared" si="10"/>
        <v>0</v>
      </c>
      <c r="P18" s="377"/>
      <c r="Q18" s="377"/>
      <c r="R18" s="377">
        <f t="shared" si="11"/>
        <v>0</v>
      </c>
      <c r="S18" s="377"/>
      <c r="T18" s="377"/>
      <c r="U18" s="377">
        <f t="shared" si="12"/>
        <v>0</v>
      </c>
      <c r="V18" s="377"/>
      <c r="W18" s="377"/>
      <c r="X18" s="377">
        <f t="shared" si="13"/>
        <v>0</v>
      </c>
      <c r="Y18" s="377"/>
      <c r="Z18" s="377"/>
      <c r="AA18" s="377">
        <f t="shared" si="14"/>
        <v>1500</v>
      </c>
      <c r="AB18" s="377">
        <v>1500</v>
      </c>
      <c r="AC18" s="377"/>
      <c r="AD18" s="377">
        <f t="shared" si="15"/>
        <v>5100</v>
      </c>
      <c r="AE18" s="377">
        <v>5100</v>
      </c>
      <c r="AF18" s="377"/>
    </row>
    <row r="19" spans="1:32" s="353" customFormat="1" ht="30.75" customHeight="1">
      <c r="A19" s="375">
        <f>A18+1</f>
        <v>8</v>
      </c>
      <c r="B19" s="376" t="s">
        <v>606</v>
      </c>
      <c r="C19" s="377">
        <f t="shared" si="4"/>
        <v>11975</v>
      </c>
      <c r="D19" s="377">
        <f t="shared" si="5"/>
        <v>11975</v>
      </c>
      <c r="E19" s="377">
        <f t="shared" si="6"/>
        <v>0</v>
      </c>
      <c r="F19" s="377">
        <f t="shared" si="7"/>
        <v>0</v>
      </c>
      <c r="G19" s="377"/>
      <c r="H19" s="377"/>
      <c r="I19" s="377">
        <f t="shared" si="8"/>
        <v>3175</v>
      </c>
      <c r="J19" s="377">
        <v>3175</v>
      </c>
      <c r="K19" s="377"/>
      <c r="L19" s="377">
        <f t="shared" si="9"/>
        <v>0</v>
      </c>
      <c r="M19" s="377"/>
      <c r="N19" s="377"/>
      <c r="O19" s="377">
        <f t="shared" si="10"/>
        <v>0</v>
      </c>
      <c r="P19" s="377"/>
      <c r="Q19" s="377"/>
      <c r="R19" s="377">
        <f t="shared" si="11"/>
        <v>2500</v>
      </c>
      <c r="S19" s="377">
        <v>2500</v>
      </c>
      <c r="T19" s="377"/>
      <c r="U19" s="377">
        <f t="shared" si="12"/>
        <v>0</v>
      </c>
      <c r="V19" s="377"/>
      <c r="W19" s="377"/>
      <c r="X19" s="377">
        <f t="shared" si="13"/>
        <v>0</v>
      </c>
      <c r="Y19" s="377"/>
      <c r="Z19" s="377"/>
      <c r="AA19" s="377">
        <f t="shared" si="14"/>
        <v>1500</v>
      </c>
      <c r="AB19" s="377">
        <v>1500</v>
      </c>
      <c r="AC19" s="377"/>
      <c r="AD19" s="377">
        <f t="shared" si="15"/>
        <v>4800</v>
      </c>
      <c r="AE19" s="377">
        <v>4800</v>
      </c>
      <c r="AF19" s="377"/>
    </row>
    <row r="20" spans="1:32" s="353" customFormat="1" ht="30.75" customHeight="1">
      <c r="A20" s="375">
        <f t="shared" si="16"/>
        <v>9</v>
      </c>
      <c r="B20" s="376" t="s">
        <v>682</v>
      </c>
      <c r="C20" s="377">
        <f t="shared" si="4"/>
        <v>53801</v>
      </c>
      <c r="D20" s="377">
        <f t="shared" si="5"/>
        <v>53801</v>
      </c>
      <c r="E20" s="377">
        <f t="shared" si="6"/>
        <v>0</v>
      </c>
      <c r="F20" s="377">
        <f t="shared" si="7"/>
        <v>38291</v>
      </c>
      <c r="G20" s="377">
        <v>38291</v>
      </c>
      <c r="H20" s="377"/>
      <c r="I20" s="377">
        <f t="shared" si="8"/>
        <v>2210</v>
      </c>
      <c r="J20" s="377">
        <v>2210</v>
      </c>
      <c r="K20" s="377"/>
      <c r="L20" s="377">
        <f t="shared" si="9"/>
        <v>0</v>
      </c>
      <c r="M20" s="377"/>
      <c r="N20" s="377"/>
      <c r="O20" s="377">
        <f t="shared" si="10"/>
        <v>0</v>
      </c>
      <c r="P20" s="377"/>
      <c r="Q20" s="377"/>
      <c r="R20" s="377">
        <f t="shared" si="11"/>
        <v>2500</v>
      </c>
      <c r="S20" s="377">
        <v>2500</v>
      </c>
      <c r="T20" s="377"/>
      <c r="U20" s="377">
        <f t="shared" si="12"/>
        <v>0</v>
      </c>
      <c r="V20" s="377"/>
      <c r="W20" s="377"/>
      <c r="X20" s="377">
        <f t="shared" si="13"/>
        <v>0</v>
      </c>
      <c r="Y20" s="377"/>
      <c r="Z20" s="377"/>
      <c r="AA20" s="377">
        <f t="shared" si="14"/>
        <v>3500</v>
      </c>
      <c r="AB20" s="377">
        <v>3500</v>
      </c>
      <c r="AC20" s="377"/>
      <c r="AD20" s="377">
        <f t="shared" si="15"/>
        <v>7300</v>
      </c>
      <c r="AE20" s="377">
        <v>7300</v>
      </c>
      <c r="AF20" s="377"/>
    </row>
    <row r="21" spans="1:32" s="353" customFormat="1" ht="30.75" customHeight="1">
      <c r="A21" s="375">
        <f t="shared" si="16"/>
        <v>10</v>
      </c>
      <c r="B21" s="376" t="s">
        <v>604</v>
      </c>
      <c r="C21" s="377">
        <f t="shared" si="4"/>
        <v>9170</v>
      </c>
      <c r="D21" s="377">
        <f t="shared" si="5"/>
        <v>9170</v>
      </c>
      <c r="E21" s="377">
        <f t="shared" si="6"/>
        <v>0</v>
      </c>
      <c r="F21" s="377">
        <f t="shared" si="7"/>
        <v>0</v>
      </c>
      <c r="G21" s="377"/>
      <c r="H21" s="377"/>
      <c r="I21" s="377">
        <f t="shared" si="8"/>
        <v>2870</v>
      </c>
      <c r="J21" s="377">
        <v>2870</v>
      </c>
      <c r="K21" s="377"/>
      <c r="L21" s="377">
        <f t="shared" si="9"/>
        <v>0</v>
      </c>
      <c r="M21" s="377"/>
      <c r="N21" s="377"/>
      <c r="O21" s="377">
        <f t="shared" si="10"/>
        <v>0</v>
      </c>
      <c r="P21" s="377"/>
      <c r="Q21" s="377"/>
      <c r="R21" s="377">
        <f t="shared" si="11"/>
        <v>0</v>
      </c>
      <c r="S21" s="377"/>
      <c r="T21" s="377"/>
      <c r="U21" s="377">
        <f t="shared" si="12"/>
        <v>0</v>
      </c>
      <c r="V21" s="377"/>
      <c r="W21" s="377"/>
      <c r="X21" s="377">
        <f t="shared" si="13"/>
        <v>0</v>
      </c>
      <c r="Y21" s="377"/>
      <c r="Z21" s="377"/>
      <c r="AA21" s="377">
        <f t="shared" si="14"/>
        <v>1500</v>
      </c>
      <c r="AB21" s="377">
        <v>1500</v>
      </c>
      <c r="AC21" s="377"/>
      <c r="AD21" s="377">
        <f t="shared" si="15"/>
        <v>4800</v>
      </c>
      <c r="AE21" s="377">
        <v>4800</v>
      </c>
      <c r="AF21" s="377"/>
    </row>
    <row r="22" spans="1:32" ht="15.95" customHeight="1">
      <c r="A22" s="378"/>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row>
    <row r="23" spans="1:32" ht="28.5" customHeight="1">
      <c r="A23" s="367"/>
      <c r="B23" s="1223" t="s">
        <v>1024</v>
      </c>
      <c r="C23" s="1223"/>
      <c r="D23" s="1223"/>
      <c r="E23" s="1223"/>
      <c r="F23" s="1223"/>
      <c r="G23" s="1223"/>
      <c r="H23" s="1223"/>
      <c r="I23" s="1223"/>
      <c r="J23" s="1223"/>
      <c r="K23" s="1223"/>
      <c r="L23" s="1223"/>
      <c r="M23" s="1223"/>
      <c r="N23" s="353"/>
      <c r="O23" s="353"/>
      <c r="P23" s="353"/>
      <c r="Q23" s="353"/>
      <c r="R23" s="353"/>
      <c r="S23" s="353"/>
      <c r="T23" s="353"/>
      <c r="U23" s="353"/>
      <c r="V23" s="353"/>
      <c r="W23" s="353"/>
      <c r="X23" s="353"/>
      <c r="Y23" s="353"/>
      <c r="Z23" s="353"/>
      <c r="AA23" s="353"/>
      <c r="AB23" s="353"/>
      <c r="AC23" s="353"/>
      <c r="AD23" s="353"/>
      <c r="AE23" s="353"/>
      <c r="AF23" s="353"/>
    </row>
    <row r="24" spans="1:32" ht="18.75">
      <c r="A24" s="351"/>
      <c r="B24" s="351"/>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row>
    <row r="25" spans="1:32" ht="18.75">
      <c r="A25" s="353"/>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row>
    <row r="26" spans="1:32" ht="18.75">
      <c r="A26" s="353"/>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row>
    <row r="27" spans="1:32" ht="18.75">
      <c r="A27" s="353"/>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row>
    <row r="28" spans="1:32" ht="18.75">
      <c r="A28" s="353"/>
      <c r="B28" s="353"/>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row>
    <row r="29" spans="1:32" ht="18.75">
      <c r="A29" s="353"/>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row>
    <row r="30" spans="1:32" ht="18.75">
      <c r="A30" s="353"/>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row>
    <row r="31" spans="1:32" ht="18.75">
      <c r="A31" s="353"/>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row>
    <row r="32" spans="1:32" ht="18.75">
      <c r="A32" s="353"/>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row>
    <row r="33" spans="1:32" ht="18.75">
      <c r="A33" s="353"/>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row>
    <row r="34" spans="1:32" ht="22.5" customHeight="1">
      <c r="A34" s="353"/>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row>
    <row r="35" spans="1:32" ht="18.75">
      <c r="A35" s="353"/>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row>
    <row r="36" spans="1:32" ht="18.75">
      <c r="A36" s="353"/>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row>
    <row r="37" spans="1:32" ht="18.75">
      <c r="A37" s="353"/>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row>
    <row r="38" spans="1:32" ht="18.75">
      <c r="A38" s="353"/>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row>
  </sheetData>
  <mergeCells count="48">
    <mergeCell ref="AD6:AF6"/>
    <mergeCell ref="AD7:AD9"/>
    <mergeCell ref="AE7:AE9"/>
    <mergeCell ref="AF7:AF9"/>
    <mergeCell ref="AC7:AC9"/>
    <mergeCell ref="AB7:AB9"/>
    <mergeCell ref="B23:M23"/>
    <mergeCell ref="U6:W6"/>
    <mergeCell ref="U7:U9"/>
    <mergeCell ref="V7:V9"/>
    <mergeCell ref="W7:W9"/>
    <mergeCell ref="T7:T9"/>
    <mergeCell ref="N7:N9"/>
    <mergeCell ref="O7:O9"/>
    <mergeCell ref="P7:P9"/>
    <mergeCell ref="Q7:Q9"/>
    <mergeCell ref="R7:R9"/>
    <mergeCell ref="S7:S9"/>
    <mergeCell ref="H7:H9"/>
    <mergeCell ref="I7:I9"/>
    <mergeCell ref="J7:J9"/>
    <mergeCell ref="X6:Z6"/>
    <mergeCell ref="AA6:AC6"/>
    <mergeCell ref="C7:C9"/>
    <mergeCell ref="D7:D9"/>
    <mergeCell ref="E7:E9"/>
    <mergeCell ref="F7:F9"/>
    <mergeCell ref="G7:G9"/>
    <mergeCell ref="L7:L9"/>
    <mergeCell ref="M7:M9"/>
    <mergeCell ref="L6:N6"/>
    <mergeCell ref="O6:Q6"/>
    <mergeCell ref="R6:T6"/>
    <mergeCell ref="X7:X9"/>
    <mergeCell ref="Y7:Y9"/>
    <mergeCell ref="Z7:Z9"/>
    <mergeCell ref="AA7:AA9"/>
    <mergeCell ref="K1:AC1"/>
    <mergeCell ref="A2:AC2"/>
    <mergeCell ref="A3:AC3"/>
    <mergeCell ref="G5:H5"/>
    <mergeCell ref="J5:AC5"/>
    <mergeCell ref="A6:A9"/>
    <mergeCell ref="B6:B9"/>
    <mergeCell ref="C6:E6"/>
    <mergeCell ref="F6:H6"/>
    <mergeCell ref="I6:K6"/>
    <mergeCell ref="K7:K9"/>
  </mergeCells>
  <printOptions horizontalCentered="1"/>
  <pageMargins left="0.28999999999999998" right="0.23" top="0.4" bottom="0.38" header="0.28999999999999998" footer="0.17"/>
  <pageSetup paperSize="9" scale="46" fitToHeight="5" orientation="landscape" r:id="rId1"/>
  <headerFooter alignWithMargins="0">
    <oddHeader xml:space="preserve">&amp;C
</oddHeader>
    <oddFooter>&amp;C&amp;".VnTime,  Italic"&amp;8
&amp;".VnTimeH,Regular"&amp;12&amp;P/&amp;N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D36"/>
  <sheetViews>
    <sheetView showZeros="0" zoomScale="70" zoomScaleNormal="70" workbookViewId="0">
      <pane xSplit="5" ySplit="10" topLeftCell="F11" activePane="bottomRight" state="frozen"/>
      <selection activeCell="E5" sqref="E5"/>
      <selection pane="topRight" activeCell="E5" sqref="E5"/>
      <selection pane="bottomLeft" activeCell="E5" sqref="E5"/>
      <selection pane="bottomRight" activeCell="C5" sqref="C5:E5"/>
    </sheetView>
  </sheetViews>
  <sheetFormatPr defaultRowHeight="15.75"/>
  <cols>
    <col min="1" max="1" width="5.85546875" style="349" customWidth="1"/>
    <col min="2" max="2" width="28.5703125" style="349" customWidth="1"/>
    <col min="3" max="4" width="14.5703125" style="349" customWidth="1"/>
    <col min="5" max="5" width="13.140625" style="349" customWidth="1"/>
    <col min="6" max="6" width="10.5703125" style="349" customWidth="1"/>
    <col min="7" max="7" width="11.5703125" style="349" customWidth="1"/>
    <col min="8" max="8" width="12" style="349" customWidth="1"/>
    <col min="9" max="9" width="12.140625" style="349" customWidth="1"/>
    <col min="10" max="10" width="13.28515625" style="349" customWidth="1"/>
    <col min="11" max="11" width="11.140625" style="349" customWidth="1"/>
    <col min="12" max="12" width="11.42578125" style="349" customWidth="1"/>
    <col min="13" max="14" width="11.85546875" style="349" customWidth="1"/>
    <col min="15" max="16" width="12" style="349" customWidth="1"/>
    <col min="17" max="17" width="12.28515625" style="349" customWidth="1"/>
    <col min="18" max="18" width="11.42578125" style="349" customWidth="1"/>
    <col min="19" max="19" width="12.140625" style="349" customWidth="1"/>
    <col min="20" max="20" width="11.28515625" style="349" customWidth="1"/>
    <col min="21" max="21" width="13" style="349" customWidth="1"/>
    <col min="22" max="22" width="13.140625" style="349" customWidth="1"/>
    <col min="23" max="23" width="12" style="349" customWidth="1"/>
    <col min="24" max="26" width="11.85546875" style="349" customWidth="1"/>
    <col min="27" max="29" width="11.5703125" style="349" customWidth="1"/>
    <col min="30" max="32" width="12.5703125" style="349" customWidth="1"/>
    <col min="33" max="38" width="11.7109375" style="349" customWidth="1"/>
    <col min="39" max="41" width="11.85546875" style="349" customWidth="1"/>
    <col min="42" max="56" width="11.7109375" style="349" customWidth="1"/>
    <col min="57" max="256" width="9.140625" style="349"/>
    <col min="257" max="257" width="5.85546875" style="349" customWidth="1"/>
    <col min="258" max="258" width="28.5703125" style="349" customWidth="1"/>
    <col min="259" max="260" width="14.5703125" style="349" customWidth="1"/>
    <col min="261" max="261" width="13.140625" style="349" customWidth="1"/>
    <col min="262" max="262" width="10.5703125" style="349" customWidth="1"/>
    <col min="263" max="263" width="11.5703125" style="349" customWidth="1"/>
    <col min="264" max="264" width="12" style="349" customWidth="1"/>
    <col min="265" max="265" width="12.140625" style="349" customWidth="1"/>
    <col min="266" max="266" width="13.28515625" style="349" customWidth="1"/>
    <col min="267" max="267" width="11.140625" style="349" customWidth="1"/>
    <col min="268" max="268" width="11.42578125" style="349" customWidth="1"/>
    <col min="269" max="270" width="11.85546875" style="349" customWidth="1"/>
    <col min="271" max="272" width="12" style="349" customWidth="1"/>
    <col min="273" max="273" width="12.28515625" style="349" customWidth="1"/>
    <col min="274" max="274" width="11.42578125" style="349" customWidth="1"/>
    <col min="275" max="275" width="12.140625" style="349" customWidth="1"/>
    <col min="276" max="276" width="11.28515625" style="349" customWidth="1"/>
    <col min="277" max="277" width="13" style="349" customWidth="1"/>
    <col min="278" max="278" width="13.140625" style="349" customWidth="1"/>
    <col min="279" max="279" width="12" style="349" customWidth="1"/>
    <col min="280" max="282" width="11.85546875" style="349" customWidth="1"/>
    <col min="283" max="285" width="11.5703125" style="349" customWidth="1"/>
    <col min="286" max="288" width="12.5703125" style="349" customWidth="1"/>
    <col min="289" max="294" width="11.7109375" style="349" customWidth="1"/>
    <col min="295" max="297" width="11.85546875" style="349" customWidth="1"/>
    <col min="298" max="300" width="11.7109375" style="349" customWidth="1"/>
    <col min="301" max="512" width="9.140625" style="349"/>
    <col min="513" max="513" width="5.85546875" style="349" customWidth="1"/>
    <col min="514" max="514" width="28.5703125" style="349" customWidth="1"/>
    <col min="515" max="516" width="14.5703125" style="349" customWidth="1"/>
    <col min="517" max="517" width="13.140625" style="349" customWidth="1"/>
    <col min="518" max="518" width="10.5703125" style="349" customWidth="1"/>
    <col min="519" max="519" width="11.5703125" style="349" customWidth="1"/>
    <col min="520" max="520" width="12" style="349" customWidth="1"/>
    <col min="521" max="521" width="12.140625" style="349" customWidth="1"/>
    <col min="522" max="522" width="13.28515625" style="349" customWidth="1"/>
    <col min="523" max="523" width="11.140625" style="349" customWidth="1"/>
    <col min="524" max="524" width="11.42578125" style="349" customWidth="1"/>
    <col min="525" max="526" width="11.85546875" style="349" customWidth="1"/>
    <col min="527" max="528" width="12" style="349" customWidth="1"/>
    <col min="529" max="529" width="12.28515625" style="349" customWidth="1"/>
    <col min="530" max="530" width="11.42578125" style="349" customWidth="1"/>
    <col min="531" max="531" width="12.140625" style="349" customWidth="1"/>
    <col min="532" max="532" width="11.28515625" style="349" customWidth="1"/>
    <col min="533" max="533" width="13" style="349" customWidth="1"/>
    <col min="534" max="534" width="13.140625" style="349" customWidth="1"/>
    <col min="535" max="535" width="12" style="349" customWidth="1"/>
    <col min="536" max="538" width="11.85546875" style="349" customWidth="1"/>
    <col min="539" max="541" width="11.5703125" style="349" customWidth="1"/>
    <col min="542" max="544" width="12.5703125" style="349" customWidth="1"/>
    <col min="545" max="550" width="11.7109375" style="349" customWidth="1"/>
    <col min="551" max="553" width="11.85546875" style="349" customWidth="1"/>
    <col min="554" max="556" width="11.7109375" style="349" customWidth="1"/>
    <col min="557" max="768" width="9.140625" style="349"/>
    <col min="769" max="769" width="5.85546875" style="349" customWidth="1"/>
    <col min="770" max="770" width="28.5703125" style="349" customWidth="1"/>
    <col min="771" max="772" width="14.5703125" style="349" customWidth="1"/>
    <col min="773" max="773" width="13.140625" style="349" customWidth="1"/>
    <col min="774" max="774" width="10.5703125" style="349" customWidth="1"/>
    <col min="775" max="775" width="11.5703125" style="349" customWidth="1"/>
    <col min="776" max="776" width="12" style="349" customWidth="1"/>
    <col min="777" max="777" width="12.140625" style="349" customWidth="1"/>
    <col min="778" max="778" width="13.28515625" style="349" customWidth="1"/>
    <col min="779" max="779" width="11.140625" style="349" customWidth="1"/>
    <col min="780" max="780" width="11.42578125" style="349" customWidth="1"/>
    <col min="781" max="782" width="11.85546875" style="349" customWidth="1"/>
    <col min="783" max="784" width="12" style="349" customWidth="1"/>
    <col min="785" max="785" width="12.28515625" style="349" customWidth="1"/>
    <col min="786" max="786" width="11.42578125" style="349" customWidth="1"/>
    <col min="787" max="787" width="12.140625" style="349" customWidth="1"/>
    <col min="788" max="788" width="11.28515625" style="349" customWidth="1"/>
    <col min="789" max="789" width="13" style="349" customWidth="1"/>
    <col min="790" max="790" width="13.140625" style="349" customWidth="1"/>
    <col min="791" max="791" width="12" style="349" customWidth="1"/>
    <col min="792" max="794" width="11.85546875" style="349" customWidth="1"/>
    <col min="795" max="797" width="11.5703125" style="349" customWidth="1"/>
    <col min="798" max="800" width="12.5703125" style="349" customWidth="1"/>
    <col min="801" max="806" width="11.7109375" style="349" customWidth="1"/>
    <col min="807" max="809" width="11.85546875" style="349" customWidth="1"/>
    <col min="810" max="812" width="11.7109375" style="349" customWidth="1"/>
    <col min="813" max="1024" width="9.140625" style="349"/>
    <col min="1025" max="1025" width="5.85546875" style="349" customWidth="1"/>
    <col min="1026" max="1026" width="28.5703125" style="349" customWidth="1"/>
    <col min="1027" max="1028" width="14.5703125" style="349" customWidth="1"/>
    <col min="1029" max="1029" width="13.140625" style="349" customWidth="1"/>
    <col min="1030" max="1030" width="10.5703125" style="349" customWidth="1"/>
    <col min="1031" max="1031" width="11.5703125" style="349" customWidth="1"/>
    <col min="1032" max="1032" width="12" style="349" customWidth="1"/>
    <col min="1033" max="1033" width="12.140625" style="349" customWidth="1"/>
    <col min="1034" max="1034" width="13.28515625" style="349" customWidth="1"/>
    <col min="1035" max="1035" width="11.140625" style="349" customWidth="1"/>
    <col min="1036" max="1036" width="11.42578125" style="349" customWidth="1"/>
    <col min="1037" max="1038" width="11.85546875" style="349" customWidth="1"/>
    <col min="1039" max="1040" width="12" style="349" customWidth="1"/>
    <col min="1041" max="1041" width="12.28515625" style="349" customWidth="1"/>
    <col min="1042" max="1042" width="11.42578125" style="349" customWidth="1"/>
    <col min="1043" max="1043" width="12.140625" style="349" customWidth="1"/>
    <col min="1044" max="1044" width="11.28515625" style="349" customWidth="1"/>
    <col min="1045" max="1045" width="13" style="349" customWidth="1"/>
    <col min="1046" max="1046" width="13.140625" style="349" customWidth="1"/>
    <col min="1047" max="1047" width="12" style="349" customWidth="1"/>
    <col min="1048" max="1050" width="11.85546875" style="349" customWidth="1"/>
    <col min="1051" max="1053" width="11.5703125" style="349" customWidth="1"/>
    <col min="1054" max="1056" width="12.5703125" style="349" customWidth="1"/>
    <col min="1057" max="1062" width="11.7109375" style="349" customWidth="1"/>
    <col min="1063" max="1065" width="11.85546875" style="349" customWidth="1"/>
    <col min="1066" max="1068" width="11.7109375" style="349" customWidth="1"/>
    <col min="1069" max="1280" width="9.140625" style="349"/>
    <col min="1281" max="1281" width="5.85546875" style="349" customWidth="1"/>
    <col min="1282" max="1282" width="28.5703125" style="349" customWidth="1"/>
    <col min="1283" max="1284" width="14.5703125" style="349" customWidth="1"/>
    <col min="1285" max="1285" width="13.140625" style="349" customWidth="1"/>
    <col min="1286" max="1286" width="10.5703125" style="349" customWidth="1"/>
    <col min="1287" max="1287" width="11.5703125" style="349" customWidth="1"/>
    <col min="1288" max="1288" width="12" style="349" customWidth="1"/>
    <col min="1289" max="1289" width="12.140625" style="349" customWidth="1"/>
    <col min="1290" max="1290" width="13.28515625" style="349" customWidth="1"/>
    <col min="1291" max="1291" width="11.140625" style="349" customWidth="1"/>
    <col min="1292" max="1292" width="11.42578125" style="349" customWidth="1"/>
    <col min="1293" max="1294" width="11.85546875" style="349" customWidth="1"/>
    <col min="1295" max="1296" width="12" style="349" customWidth="1"/>
    <col min="1297" max="1297" width="12.28515625" style="349" customWidth="1"/>
    <col min="1298" max="1298" width="11.42578125" style="349" customWidth="1"/>
    <col min="1299" max="1299" width="12.140625" style="349" customWidth="1"/>
    <col min="1300" max="1300" width="11.28515625" style="349" customWidth="1"/>
    <col min="1301" max="1301" width="13" style="349" customWidth="1"/>
    <col min="1302" max="1302" width="13.140625" style="349" customWidth="1"/>
    <col min="1303" max="1303" width="12" style="349" customWidth="1"/>
    <col min="1304" max="1306" width="11.85546875" style="349" customWidth="1"/>
    <col min="1307" max="1309" width="11.5703125" style="349" customWidth="1"/>
    <col min="1310" max="1312" width="12.5703125" style="349" customWidth="1"/>
    <col min="1313" max="1318" width="11.7109375" style="349" customWidth="1"/>
    <col min="1319" max="1321" width="11.85546875" style="349" customWidth="1"/>
    <col min="1322" max="1324" width="11.7109375" style="349" customWidth="1"/>
    <col min="1325" max="1536" width="9.140625" style="349"/>
    <col min="1537" max="1537" width="5.85546875" style="349" customWidth="1"/>
    <col min="1538" max="1538" width="28.5703125" style="349" customWidth="1"/>
    <col min="1539" max="1540" width="14.5703125" style="349" customWidth="1"/>
    <col min="1541" max="1541" width="13.140625" style="349" customWidth="1"/>
    <col min="1542" max="1542" width="10.5703125" style="349" customWidth="1"/>
    <col min="1543" max="1543" width="11.5703125" style="349" customWidth="1"/>
    <col min="1544" max="1544" width="12" style="349" customWidth="1"/>
    <col min="1545" max="1545" width="12.140625" style="349" customWidth="1"/>
    <col min="1546" max="1546" width="13.28515625" style="349" customWidth="1"/>
    <col min="1547" max="1547" width="11.140625" style="349" customWidth="1"/>
    <col min="1548" max="1548" width="11.42578125" style="349" customWidth="1"/>
    <col min="1549" max="1550" width="11.85546875" style="349" customWidth="1"/>
    <col min="1551" max="1552" width="12" style="349" customWidth="1"/>
    <col min="1553" max="1553" width="12.28515625" style="349" customWidth="1"/>
    <col min="1554" max="1554" width="11.42578125" style="349" customWidth="1"/>
    <col min="1555" max="1555" width="12.140625" style="349" customWidth="1"/>
    <col min="1556" max="1556" width="11.28515625" style="349" customWidth="1"/>
    <col min="1557" max="1557" width="13" style="349" customWidth="1"/>
    <col min="1558" max="1558" width="13.140625" style="349" customWidth="1"/>
    <col min="1559" max="1559" width="12" style="349" customWidth="1"/>
    <col min="1560" max="1562" width="11.85546875" style="349" customWidth="1"/>
    <col min="1563" max="1565" width="11.5703125" style="349" customWidth="1"/>
    <col min="1566" max="1568" width="12.5703125" style="349" customWidth="1"/>
    <col min="1569" max="1574" width="11.7109375" style="349" customWidth="1"/>
    <col min="1575" max="1577" width="11.85546875" style="349" customWidth="1"/>
    <col min="1578" max="1580" width="11.7109375" style="349" customWidth="1"/>
    <col min="1581" max="1792" width="9.140625" style="349"/>
    <col min="1793" max="1793" width="5.85546875" style="349" customWidth="1"/>
    <col min="1794" max="1794" width="28.5703125" style="349" customWidth="1"/>
    <col min="1795" max="1796" width="14.5703125" style="349" customWidth="1"/>
    <col min="1797" max="1797" width="13.140625" style="349" customWidth="1"/>
    <col min="1798" max="1798" width="10.5703125" style="349" customWidth="1"/>
    <col min="1799" max="1799" width="11.5703125" style="349" customWidth="1"/>
    <col min="1800" max="1800" width="12" style="349" customWidth="1"/>
    <col min="1801" max="1801" width="12.140625" style="349" customWidth="1"/>
    <col min="1802" max="1802" width="13.28515625" style="349" customWidth="1"/>
    <col min="1803" max="1803" width="11.140625" style="349" customWidth="1"/>
    <col min="1804" max="1804" width="11.42578125" style="349" customWidth="1"/>
    <col min="1805" max="1806" width="11.85546875" style="349" customWidth="1"/>
    <col min="1807" max="1808" width="12" style="349" customWidth="1"/>
    <col min="1809" max="1809" width="12.28515625" style="349" customWidth="1"/>
    <col min="1810" max="1810" width="11.42578125" style="349" customWidth="1"/>
    <col min="1811" max="1811" width="12.140625" style="349" customWidth="1"/>
    <col min="1812" max="1812" width="11.28515625" style="349" customWidth="1"/>
    <col min="1813" max="1813" width="13" style="349" customWidth="1"/>
    <col min="1814" max="1814" width="13.140625" style="349" customWidth="1"/>
    <col min="1815" max="1815" width="12" style="349" customWidth="1"/>
    <col min="1816" max="1818" width="11.85546875" style="349" customWidth="1"/>
    <col min="1819" max="1821" width="11.5703125" style="349" customWidth="1"/>
    <col min="1822" max="1824" width="12.5703125" style="349" customWidth="1"/>
    <col min="1825" max="1830" width="11.7109375" style="349" customWidth="1"/>
    <col min="1831" max="1833" width="11.85546875" style="349" customWidth="1"/>
    <col min="1834" max="1836" width="11.7109375" style="349" customWidth="1"/>
    <col min="1837" max="2048" width="9.140625" style="349"/>
    <col min="2049" max="2049" width="5.85546875" style="349" customWidth="1"/>
    <col min="2050" max="2050" width="28.5703125" style="349" customWidth="1"/>
    <col min="2051" max="2052" width="14.5703125" style="349" customWidth="1"/>
    <col min="2053" max="2053" width="13.140625" style="349" customWidth="1"/>
    <col min="2054" max="2054" width="10.5703125" style="349" customWidth="1"/>
    <col min="2055" max="2055" width="11.5703125" style="349" customWidth="1"/>
    <col min="2056" max="2056" width="12" style="349" customWidth="1"/>
    <col min="2057" max="2057" width="12.140625" style="349" customWidth="1"/>
    <col min="2058" max="2058" width="13.28515625" style="349" customWidth="1"/>
    <col min="2059" max="2059" width="11.140625" style="349" customWidth="1"/>
    <col min="2060" max="2060" width="11.42578125" style="349" customWidth="1"/>
    <col min="2061" max="2062" width="11.85546875" style="349" customWidth="1"/>
    <col min="2063" max="2064" width="12" style="349" customWidth="1"/>
    <col min="2065" max="2065" width="12.28515625" style="349" customWidth="1"/>
    <col min="2066" max="2066" width="11.42578125" style="349" customWidth="1"/>
    <col min="2067" max="2067" width="12.140625" style="349" customWidth="1"/>
    <col min="2068" max="2068" width="11.28515625" style="349" customWidth="1"/>
    <col min="2069" max="2069" width="13" style="349" customWidth="1"/>
    <col min="2070" max="2070" width="13.140625" style="349" customWidth="1"/>
    <col min="2071" max="2071" width="12" style="349" customWidth="1"/>
    <col min="2072" max="2074" width="11.85546875" style="349" customWidth="1"/>
    <col min="2075" max="2077" width="11.5703125" style="349" customWidth="1"/>
    <col min="2078" max="2080" width="12.5703125" style="349" customWidth="1"/>
    <col min="2081" max="2086" width="11.7109375" style="349" customWidth="1"/>
    <col min="2087" max="2089" width="11.85546875" style="349" customWidth="1"/>
    <col min="2090" max="2092" width="11.7109375" style="349" customWidth="1"/>
    <col min="2093" max="2304" width="9.140625" style="349"/>
    <col min="2305" max="2305" width="5.85546875" style="349" customWidth="1"/>
    <col min="2306" max="2306" width="28.5703125" style="349" customWidth="1"/>
    <col min="2307" max="2308" width="14.5703125" style="349" customWidth="1"/>
    <col min="2309" max="2309" width="13.140625" style="349" customWidth="1"/>
    <col min="2310" max="2310" width="10.5703125" style="349" customWidth="1"/>
    <col min="2311" max="2311" width="11.5703125" style="349" customWidth="1"/>
    <col min="2312" max="2312" width="12" style="349" customWidth="1"/>
    <col min="2313" max="2313" width="12.140625" style="349" customWidth="1"/>
    <col min="2314" max="2314" width="13.28515625" style="349" customWidth="1"/>
    <col min="2315" max="2315" width="11.140625" style="349" customWidth="1"/>
    <col min="2316" max="2316" width="11.42578125" style="349" customWidth="1"/>
    <col min="2317" max="2318" width="11.85546875" style="349" customWidth="1"/>
    <col min="2319" max="2320" width="12" style="349" customWidth="1"/>
    <col min="2321" max="2321" width="12.28515625" style="349" customWidth="1"/>
    <col min="2322" max="2322" width="11.42578125" style="349" customWidth="1"/>
    <col min="2323" max="2323" width="12.140625" style="349" customWidth="1"/>
    <col min="2324" max="2324" width="11.28515625" style="349" customWidth="1"/>
    <col min="2325" max="2325" width="13" style="349" customWidth="1"/>
    <col min="2326" max="2326" width="13.140625" style="349" customWidth="1"/>
    <col min="2327" max="2327" width="12" style="349" customWidth="1"/>
    <col min="2328" max="2330" width="11.85546875" style="349" customWidth="1"/>
    <col min="2331" max="2333" width="11.5703125" style="349" customWidth="1"/>
    <col min="2334" max="2336" width="12.5703125" style="349" customWidth="1"/>
    <col min="2337" max="2342" width="11.7109375" style="349" customWidth="1"/>
    <col min="2343" max="2345" width="11.85546875" style="349" customWidth="1"/>
    <col min="2346" max="2348" width="11.7109375" style="349" customWidth="1"/>
    <col min="2349" max="2560" width="9.140625" style="349"/>
    <col min="2561" max="2561" width="5.85546875" style="349" customWidth="1"/>
    <col min="2562" max="2562" width="28.5703125" style="349" customWidth="1"/>
    <col min="2563" max="2564" width="14.5703125" style="349" customWidth="1"/>
    <col min="2565" max="2565" width="13.140625" style="349" customWidth="1"/>
    <col min="2566" max="2566" width="10.5703125" style="349" customWidth="1"/>
    <col min="2567" max="2567" width="11.5703125" style="349" customWidth="1"/>
    <col min="2568" max="2568" width="12" style="349" customWidth="1"/>
    <col min="2569" max="2569" width="12.140625" style="349" customWidth="1"/>
    <col min="2570" max="2570" width="13.28515625" style="349" customWidth="1"/>
    <col min="2571" max="2571" width="11.140625" style="349" customWidth="1"/>
    <col min="2572" max="2572" width="11.42578125" style="349" customWidth="1"/>
    <col min="2573" max="2574" width="11.85546875" style="349" customWidth="1"/>
    <col min="2575" max="2576" width="12" style="349" customWidth="1"/>
    <col min="2577" max="2577" width="12.28515625" style="349" customWidth="1"/>
    <col min="2578" max="2578" width="11.42578125" style="349" customWidth="1"/>
    <col min="2579" max="2579" width="12.140625" style="349" customWidth="1"/>
    <col min="2580" max="2580" width="11.28515625" style="349" customWidth="1"/>
    <col min="2581" max="2581" width="13" style="349" customWidth="1"/>
    <col min="2582" max="2582" width="13.140625" style="349" customWidth="1"/>
    <col min="2583" max="2583" width="12" style="349" customWidth="1"/>
    <col min="2584" max="2586" width="11.85546875" style="349" customWidth="1"/>
    <col min="2587" max="2589" width="11.5703125" style="349" customWidth="1"/>
    <col min="2590" max="2592" width="12.5703125" style="349" customWidth="1"/>
    <col min="2593" max="2598" width="11.7109375" style="349" customWidth="1"/>
    <col min="2599" max="2601" width="11.85546875" style="349" customWidth="1"/>
    <col min="2602" max="2604" width="11.7109375" style="349" customWidth="1"/>
    <col min="2605" max="2816" width="9.140625" style="349"/>
    <col min="2817" max="2817" width="5.85546875" style="349" customWidth="1"/>
    <col min="2818" max="2818" width="28.5703125" style="349" customWidth="1"/>
    <col min="2819" max="2820" width="14.5703125" style="349" customWidth="1"/>
    <col min="2821" max="2821" width="13.140625" style="349" customWidth="1"/>
    <col min="2822" max="2822" width="10.5703125" style="349" customWidth="1"/>
    <col min="2823" max="2823" width="11.5703125" style="349" customWidth="1"/>
    <col min="2824" max="2824" width="12" style="349" customWidth="1"/>
    <col min="2825" max="2825" width="12.140625" style="349" customWidth="1"/>
    <col min="2826" max="2826" width="13.28515625" style="349" customWidth="1"/>
    <col min="2827" max="2827" width="11.140625" style="349" customWidth="1"/>
    <col min="2828" max="2828" width="11.42578125" style="349" customWidth="1"/>
    <col min="2829" max="2830" width="11.85546875" style="349" customWidth="1"/>
    <col min="2831" max="2832" width="12" style="349" customWidth="1"/>
    <col min="2833" max="2833" width="12.28515625" style="349" customWidth="1"/>
    <col min="2834" max="2834" width="11.42578125" style="349" customWidth="1"/>
    <col min="2835" max="2835" width="12.140625" style="349" customWidth="1"/>
    <col min="2836" max="2836" width="11.28515625" style="349" customWidth="1"/>
    <col min="2837" max="2837" width="13" style="349" customWidth="1"/>
    <col min="2838" max="2838" width="13.140625" style="349" customWidth="1"/>
    <col min="2839" max="2839" width="12" style="349" customWidth="1"/>
    <col min="2840" max="2842" width="11.85546875" style="349" customWidth="1"/>
    <col min="2843" max="2845" width="11.5703125" style="349" customWidth="1"/>
    <col min="2846" max="2848" width="12.5703125" style="349" customWidth="1"/>
    <col min="2849" max="2854" width="11.7109375" style="349" customWidth="1"/>
    <col min="2855" max="2857" width="11.85546875" style="349" customWidth="1"/>
    <col min="2858" max="2860" width="11.7109375" style="349" customWidth="1"/>
    <col min="2861" max="3072" width="9.140625" style="349"/>
    <col min="3073" max="3073" width="5.85546875" style="349" customWidth="1"/>
    <col min="3074" max="3074" width="28.5703125" style="349" customWidth="1"/>
    <col min="3075" max="3076" width="14.5703125" style="349" customWidth="1"/>
    <col min="3077" max="3077" width="13.140625" style="349" customWidth="1"/>
    <col min="3078" max="3078" width="10.5703125" style="349" customWidth="1"/>
    <col min="3079" max="3079" width="11.5703125" style="349" customWidth="1"/>
    <col min="3080" max="3080" width="12" style="349" customWidth="1"/>
    <col min="3081" max="3081" width="12.140625" style="349" customWidth="1"/>
    <col min="3082" max="3082" width="13.28515625" style="349" customWidth="1"/>
    <col min="3083" max="3083" width="11.140625" style="349" customWidth="1"/>
    <col min="3084" max="3084" width="11.42578125" style="349" customWidth="1"/>
    <col min="3085" max="3086" width="11.85546875" style="349" customWidth="1"/>
    <col min="3087" max="3088" width="12" style="349" customWidth="1"/>
    <col min="3089" max="3089" width="12.28515625" style="349" customWidth="1"/>
    <col min="3090" max="3090" width="11.42578125" style="349" customWidth="1"/>
    <col min="3091" max="3091" width="12.140625" style="349" customWidth="1"/>
    <col min="3092" max="3092" width="11.28515625" style="349" customWidth="1"/>
    <col min="3093" max="3093" width="13" style="349" customWidth="1"/>
    <col min="3094" max="3094" width="13.140625" style="349" customWidth="1"/>
    <col min="3095" max="3095" width="12" style="349" customWidth="1"/>
    <col min="3096" max="3098" width="11.85546875" style="349" customWidth="1"/>
    <col min="3099" max="3101" width="11.5703125" style="349" customWidth="1"/>
    <col min="3102" max="3104" width="12.5703125" style="349" customWidth="1"/>
    <col min="3105" max="3110" width="11.7109375" style="349" customWidth="1"/>
    <col min="3111" max="3113" width="11.85546875" style="349" customWidth="1"/>
    <col min="3114" max="3116" width="11.7109375" style="349" customWidth="1"/>
    <col min="3117" max="3328" width="9.140625" style="349"/>
    <col min="3329" max="3329" width="5.85546875" style="349" customWidth="1"/>
    <col min="3330" max="3330" width="28.5703125" style="349" customWidth="1"/>
    <col min="3331" max="3332" width="14.5703125" style="349" customWidth="1"/>
    <col min="3333" max="3333" width="13.140625" style="349" customWidth="1"/>
    <col min="3334" max="3334" width="10.5703125" style="349" customWidth="1"/>
    <col min="3335" max="3335" width="11.5703125" style="349" customWidth="1"/>
    <col min="3336" max="3336" width="12" style="349" customWidth="1"/>
    <col min="3337" max="3337" width="12.140625" style="349" customWidth="1"/>
    <col min="3338" max="3338" width="13.28515625" style="349" customWidth="1"/>
    <col min="3339" max="3339" width="11.140625" style="349" customWidth="1"/>
    <col min="3340" max="3340" width="11.42578125" style="349" customWidth="1"/>
    <col min="3341" max="3342" width="11.85546875" style="349" customWidth="1"/>
    <col min="3343" max="3344" width="12" style="349" customWidth="1"/>
    <col min="3345" max="3345" width="12.28515625" style="349" customWidth="1"/>
    <col min="3346" max="3346" width="11.42578125" style="349" customWidth="1"/>
    <col min="3347" max="3347" width="12.140625" style="349" customWidth="1"/>
    <col min="3348" max="3348" width="11.28515625" style="349" customWidth="1"/>
    <col min="3349" max="3349" width="13" style="349" customWidth="1"/>
    <col min="3350" max="3350" width="13.140625" style="349" customWidth="1"/>
    <col min="3351" max="3351" width="12" style="349" customWidth="1"/>
    <col min="3352" max="3354" width="11.85546875" style="349" customWidth="1"/>
    <col min="3355" max="3357" width="11.5703125" style="349" customWidth="1"/>
    <col min="3358" max="3360" width="12.5703125" style="349" customWidth="1"/>
    <col min="3361" max="3366" width="11.7109375" style="349" customWidth="1"/>
    <col min="3367" max="3369" width="11.85546875" style="349" customWidth="1"/>
    <col min="3370" max="3372" width="11.7109375" style="349" customWidth="1"/>
    <col min="3373" max="3584" width="9.140625" style="349"/>
    <col min="3585" max="3585" width="5.85546875" style="349" customWidth="1"/>
    <col min="3586" max="3586" width="28.5703125" style="349" customWidth="1"/>
    <col min="3587" max="3588" width="14.5703125" style="349" customWidth="1"/>
    <col min="3589" max="3589" width="13.140625" style="349" customWidth="1"/>
    <col min="3590" max="3590" width="10.5703125" style="349" customWidth="1"/>
    <col min="3591" max="3591" width="11.5703125" style="349" customWidth="1"/>
    <col min="3592" max="3592" width="12" style="349" customWidth="1"/>
    <col min="3593" max="3593" width="12.140625" style="349" customWidth="1"/>
    <col min="3594" max="3594" width="13.28515625" style="349" customWidth="1"/>
    <col min="3595" max="3595" width="11.140625" style="349" customWidth="1"/>
    <col min="3596" max="3596" width="11.42578125" style="349" customWidth="1"/>
    <col min="3597" max="3598" width="11.85546875" style="349" customWidth="1"/>
    <col min="3599" max="3600" width="12" style="349" customWidth="1"/>
    <col min="3601" max="3601" width="12.28515625" style="349" customWidth="1"/>
    <col min="3602" max="3602" width="11.42578125" style="349" customWidth="1"/>
    <col min="3603" max="3603" width="12.140625" style="349" customWidth="1"/>
    <col min="3604" max="3604" width="11.28515625" style="349" customWidth="1"/>
    <col min="3605" max="3605" width="13" style="349" customWidth="1"/>
    <col min="3606" max="3606" width="13.140625" style="349" customWidth="1"/>
    <col min="3607" max="3607" width="12" style="349" customWidth="1"/>
    <col min="3608" max="3610" width="11.85546875" style="349" customWidth="1"/>
    <col min="3611" max="3613" width="11.5703125" style="349" customWidth="1"/>
    <col min="3614" max="3616" width="12.5703125" style="349" customWidth="1"/>
    <col min="3617" max="3622" width="11.7109375" style="349" customWidth="1"/>
    <col min="3623" max="3625" width="11.85546875" style="349" customWidth="1"/>
    <col min="3626" max="3628" width="11.7109375" style="349" customWidth="1"/>
    <col min="3629" max="3840" width="9.140625" style="349"/>
    <col min="3841" max="3841" width="5.85546875" style="349" customWidth="1"/>
    <col min="3842" max="3842" width="28.5703125" style="349" customWidth="1"/>
    <col min="3843" max="3844" width="14.5703125" style="349" customWidth="1"/>
    <col min="3845" max="3845" width="13.140625" style="349" customWidth="1"/>
    <col min="3846" max="3846" width="10.5703125" style="349" customWidth="1"/>
    <col min="3847" max="3847" width="11.5703125" style="349" customWidth="1"/>
    <col min="3848" max="3848" width="12" style="349" customWidth="1"/>
    <col min="3849" max="3849" width="12.140625" style="349" customWidth="1"/>
    <col min="3850" max="3850" width="13.28515625" style="349" customWidth="1"/>
    <col min="3851" max="3851" width="11.140625" style="349" customWidth="1"/>
    <col min="3852" max="3852" width="11.42578125" style="349" customWidth="1"/>
    <col min="3853" max="3854" width="11.85546875" style="349" customWidth="1"/>
    <col min="3855" max="3856" width="12" style="349" customWidth="1"/>
    <col min="3857" max="3857" width="12.28515625" style="349" customWidth="1"/>
    <col min="3858" max="3858" width="11.42578125" style="349" customWidth="1"/>
    <col min="3859" max="3859" width="12.140625" style="349" customWidth="1"/>
    <col min="3860" max="3860" width="11.28515625" style="349" customWidth="1"/>
    <col min="3861" max="3861" width="13" style="349" customWidth="1"/>
    <col min="3862" max="3862" width="13.140625" style="349" customWidth="1"/>
    <col min="3863" max="3863" width="12" style="349" customWidth="1"/>
    <col min="3864" max="3866" width="11.85546875" style="349" customWidth="1"/>
    <col min="3867" max="3869" width="11.5703125" style="349" customWidth="1"/>
    <col min="3870" max="3872" width="12.5703125" style="349" customWidth="1"/>
    <col min="3873" max="3878" width="11.7109375" style="349" customWidth="1"/>
    <col min="3879" max="3881" width="11.85546875" style="349" customWidth="1"/>
    <col min="3882" max="3884" width="11.7109375" style="349" customWidth="1"/>
    <col min="3885" max="4096" width="9.140625" style="349"/>
    <col min="4097" max="4097" width="5.85546875" style="349" customWidth="1"/>
    <col min="4098" max="4098" width="28.5703125" style="349" customWidth="1"/>
    <col min="4099" max="4100" width="14.5703125" style="349" customWidth="1"/>
    <col min="4101" max="4101" width="13.140625" style="349" customWidth="1"/>
    <col min="4102" max="4102" width="10.5703125" style="349" customWidth="1"/>
    <col min="4103" max="4103" width="11.5703125" style="349" customWidth="1"/>
    <col min="4104" max="4104" width="12" style="349" customWidth="1"/>
    <col min="4105" max="4105" width="12.140625" style="349" customWidth="1"/>
    <col min="4106" max="4106" width="13.28515625" style="349" customWidth="1"/>
    <col min="4107" max="4107" width="11.140625" style="349" customWidth="1"/>
    <col min="4108" max="4108" width="11.42578125" style="349" customWidth="1"/>
    <col min="4109" max="4110" width="11.85546875" style="349" customWidth="1"/>
    <col min="4111" max="4112" width="12" style="349" customWidth="1"/>
    <col min="4113" max="4113" width="12.28515625" style="349" customWidth="1"/>
    <col min="4114" max="4114" width="11.42578125" style="349" customWidth="1"/>
    <col min="4115" max="4115" width="12.140625" style="349" customWidth="1"/>
    <col min="4116" max="4116" width="11.28515625" style="349" customWidth="1"/>
    <col min="4117" max="4117" width="13" style="349" customWidth="1"/>
    <col min="4118" max="4118" width="13.140625" style="349" customWidth="1"/>
    <col min="4119" max="4119" width="12" style="349" customWidth="1"/>
    <col min="4120" max="4122" width="11.85546875" style="349" customWidth="1"/>
    <col min="4123" max="4125" width="11.5703125" style="349" customWidth="1"/>
    <col min="4126" max="4128" width="12.5703125" style="349" customWidth="1"/>
    <col min="4129" max="4134" width="11.7109375" style="349" customWidth="1"/>
    <col min="4135" max="4137" width="11.85546875" style="349" customWidth="1"/>
    <col min="4138" max="4140" width="11.7109375" style="349" customWidth="1"/>
    <col min="4141" max="4352" width="9.140625" style="349"/>
    <col min="4353" max="4353" width="5.85546875" style="349" customWidth="1"/>
    <col min="4354" max="4354" width="28.5703125" style="349" customWidth="1"/>
    <col min="4355" max="4356" width="14.5703125" style="349" customWidth="1"/>
    <col min="4357" max="4357" width="13.140625" style="349" customWidth="1"/>
    <col min="4358" max="4358" width="10.5703125" style="349" customWidth="1"/>
    <col min="4359" max="4359" width="11.5703125" style="349" customWidth="1"/>
    <col min="4360" max="4360" width="12" style="349" customWidth="1"/>
    <col min="4361" max="4361" width="12.140625" style="349" customWidth="1"/>
    <col min="4362" max="4362" width="13.28515625" style="349" customWidth="1"/>
    <col min="4363" max="4363" width="11.140625" style="349" customWidth="1"/>
    <col min="4364" max="4364" width="11.42578125" style="349" customWidth="1"/>
    <col min="4365" max="4366" width="11.85546875" style="349" customWidth="1"/>
    <col min="4367" max="4368" width="12" style="349" customWidth="1"/>
    <col min="4369" max="4369" width="12.28515625" style="349" customWidth="1"/>
    <col min="4370" max="4370" width="11.42578125" style="349" customWidth="1"/>
    <col min="4371" max="4371" width="12.140625" style="349" customWidth="1"/>
    <col min="4372" max="4372" width="11.28515625" style="349" customWidth="1"/>
    <col min="4373" max="4373" width="13" style="349" customWidth="1"/>
    <col min="4374" max="4374" width="13.140625" style="349" customWidth="1"/>
    <col min="4375" max="4375" width="12" style="349" customWidth="1"/>
    <col min="4376" max="4378" width="11.85546875" style="349" customWidth="1"/>
    <col min="4379" max="4381" width="11.5703125" style="349" customWidth="1"/>
    <col min="4382" max="4384" width="12.5703125" style="349" customWidth="1"/>
    <col min="4385" max="4390" width="11.7109375" style="349" customWidth="1"/>
    <col min="4391" max="4393" width="11.85546875" style="349" customWidth="1"/>
    <col min="4394" max="4396" width="11.7109375" style="349" customWidth="1"/>
    <col min="4397" max="4608" width="9.140625" style="349"/>
    <col min="4609" max="4609" width="5.85546875" style="349" customWidth="1"/>
    <col min="4610" max="4610" width="28.5703125" style="349" customWidth="1"/>
    <col min="4611" max="4612" width="14.5703125" style="349" customWidth="1"/>
    <col min="4613" max="4613" width="13.140625" style="349" customWidth="1"/>
    <col min="4614" max="4614" width="10.5703125" style="349" customWidth="1"/>
    <col min="4615" max="4615" width="11.5703125" style="349" customWidth="1"/>
    <col min="4616" max="4616" width="12" style="349" customWidth="1"/>
    <col min="4617" max="4617" width="12.140625" style="349" customWidth="1"/>
    <col min="4618" max="4618" width="13.28515625" style="349" customWidth="1"/>
    <col min="4619" max="4619" width="11.140625" style="349" customWidth="1"/>
    <col min="4620" max="4620" width="11.42578125" style="349" customWidth="1"/>
    <col min="4621" max="4622" width="11.85546875" style="349" customWidth="1"/>
    <col min="4623" max="4624" width="12" style="349" customWidth="1"/>
    <col min="4625" max="4625" width="12.28515625" style="349" customWidth="1"/>
    <col min="4626" max="4626" width="11.42578125" style="349" customWidth="1"/>
    <col min="4627" max="4627" width="12.140625" style="349" customWidth="1"/>
    <col min="4628" max="4628" width="11.28515625" style="349" customWidth="1"/>
    <col min="4629" max="4629" width="13" style="349" customWidth="1"/>
    <col min="4630" max="4630" width="13.140625" style="349" customWidth="1"/>
    <col min="4631" max="4631" width="12" style="349" customWidth="1"/>
    <col min="4632" max="4634" width="11.85546875" style="349" customWidth="1"/>
    <col min="4635" max="4637" width="11.5703125" style="349" customWidth="1"/>
    <col min="4638" max="4640" width="12.5703125" style="349" customWidth="1"/>
    <col min="4641" max="4646" width="11.7109375" style="349" customWidth="1"/>
    <col min="4647" max="4649" width="11.85546875" style="349" customWidth="1"/>
    <col min="4650" max="4652" width="11.7109375" style="349" customWidth="1"/>
    <col min="4653" max="4864" width="9.140625" style="349"/>
    <col min="4865" max="4865" width="5.85546875" style="349" customWidth="1"/>
    <col min="4866" max="4866" width="28.5703125" style="349" customWidth="1"/>
    <col min="4867" max="4868" width="14.5703125" style="349" customWidth="1"/>
    <col min="4869" max="4869" width="13.140625" style="349" customWidth="1"/>
    <col min="4870" max="4870" width="10.5703125" style="349" customWidth="1"/>
    <col min="4871" max="4871" width="11.5703125" style="349" customWidth="1"/>
    <col min="4872" max="4872" width="12" style="349" customWidth="1"/>
    <col min="4873" max="4873" width="12.140625" style="349" customWidth="1"/>
    <col min="4874" max="4874" width="13.28515625" style="349" customWidth="1"/>
    <col min="4875" max="4875" width="11.140625" style="349" customWidth="1"/>
    <col min="4876" max="4876" width="11.42578125" style="349" customWidth="1"/>
    <col min="4877" max="4878" width="11.85546875" style="349" customWidth="1"/>
    <col min="4879" max="4880" width="12" style="349" customWidth="1"/>
    <col min="4881" max="4881" width="12.28515625" style="349" customWidth="1"/>
    <col min="4882" max="4882" width="11.42578125" style="349" customWidth="1"/>
    <col min="4883" max="4883" width="12.140625" style="349" customWidth="1"/>
    <col min="4884" max="4884" width="11.28515625" style="349" customWidth="1"/>
    <col min="4885" max="4885" width="13" style="349" customWidth="1"/>
    <col min="4886" max="4886" width="13.140625" style="349" customWidth="1"/>
    <col min="4887" max="4887" width="12" style="349" customWidth="1"/>
    <col min="4888" max="4890" width="11.85546875" style="349" customWidth="1"/>
    <col min="4891" max="4893" width="11.5703125" style="349" customWidth="1"/>
    <col min="4894" max="4896" width="12.5703125" style="349" customWidth="1"/>
    <col min="4897" max="4902" width="11.7109375" style="349" customWidth="1"/>
    <col min="4903" max="4905" width="11.85546875" style="349" customWidth="1"/>
    <col min="4906" max="4908" width="11.7109375" style="349" customWidth="1"/>
    <col min="4909" max="5120" width="9.140625" style="349"/>
    <col min="5121" max="5121" width="5.85546875" style="349" customWidth="1"/>
    <col min="5122" max="5122" width="28.5703125" style="349" customWidth="1"/>
    <col min="5123" max="5124" width="14.5703125" style="349" customWidth="1"/>
    <col min="5125" max="5125" width="13.140625" style="349" customWidth="1"/>
    <col min="5126" max="5126" width="10.5703125" style="349" customWidth="1"/>
    <col min="5127" max="5127" width="11.5703125" style="349" customWidth="1"/>
    <col min="5128" max="5128" width="12" style="349" customWidth="1"/>
    <col min="5129" max="5129" width="12.140625" style="349" customWidth="1"/>
    <col min="5130" max="5130" width="13.28515625" style="349" customWidth="1"/>
    <col min="5131" max="5131" width="11.140625" style="349" customWidth="1"/>
    <col min="5132" max="5132" width="11.42578125" style="349" customWidth="1"/>
    <col min="5133" max="5134" width="11.85546875" style="349" customWidth="1"/>
    <col min="5135" max="5136" width="12" style="349" customWidth="1"/>
    <col min="5137" max="5137" width="12.28515625" style="349" customWidth="1"/>
    <col min="5138" max="5138" width="11.42578125" style="349" customWidth="1"/>
    <col min="5139" max="5139" width="12.140625" style="349" customWidth="1"/>
    <col min="5140" max="5140" width="11.28515625" style="349" customWidth="1"/>
    <col min="5141" max="5141" width="13" style="349" customWidth="1"/>
    <col min="5142" max="5142" width="13.140625" style="349" customWidth="1"/>
    <col min="5143" max="5143" width="12" style="349" customWidth="1"/>
    <col min="5144" max="5146" width="11.85546875" style="349" customWidth="1"/>
    <col min="5147" max="5149" width="11.5703125" style="349" customWidth="1"/>
    <col min="5150" max="5152" width="12.5703125" style="349" customWidth="1"/>
    <col min="5153" max="5158" width="11.7109375" style="349" customWidth="1"/>
    <col min="5159" max="5161" width="11.85546875" style="349" customWidth="1"/>
    <col min="5162" max="5164" width="11.7109375" style="349" customWidth="1"/>
    <col min="5165" max="5376" width="9.140625" style="349"/>
    <col min="5377" max="5377" width="5.85546875" style="349" customWidth="1"/>
    <col min="5378" max="5378" width="28.5703125" style="349" customWidth="1"/>
    <col min="5379" max="5380" width="14.5703125" style="349" customWidth="1"/>
    <col min="5381" max="5381" width="13.140625" style="349" customWidth="1"/>
    <col min="5382" max="5382" width="10.5703125" style="349" customWidth="1"/>
    <col min="5383" max="5383" width="11.5703125" style="349" customWidth="1"/>
    <col min="5384" max="5384" width="12" style="349" customWidth="1"/>
    <col min="5385" max="5385" width="12.140625" style="349" customWidth="1"/>
    <col min="5386" max="5386" width="13.28515625" style="349" customWidth="1"/>
    <col min="5387" max="5387" width="11.140625" style="349" customWidth="1"/>
    <col min="5388" max="5388" width="11.42578125" style="349" customWidth="1"/>
    <col min="5389" max="5390" width="11.85546875" style="349" customWidth="1"/>
    <col min="5391" max="5392" width="12" style="349" customWidth="1"/>
    <col min="5393" max="5393" width="12.28515625" style="349" customWidth="1"/>
    <col min="5394" max="5394" width="11.42578125" style="349" customWidth="1"/>
    <col min="5395" max="5395" width="12.140625" style="349" customWidth="1"/>
    <col min="5396" max="5396" width="11.28515625" style="349" customWidth="1"/>
    <col min="5397" max="5397" width="13" style="349" customWidth="1"/>
    <col min="5398" max="5398" width="13.140625" style="349" customWidth="1"/>
    <col min="5399" max="5399" width="12" style="349" customWidth="1"/>
    <col min="5400" max="5402" width="11.85546875" style="349" customWidth="1"/>
    <col min="5403" max="5405" width="11.5703125" style="349" customWidth="1"/>
    <col min="5406" max="5408" width="12.5703125" style="349" customWidth="1"/>
    <col min="5409" max="5414" width="11.7109375" style="349" customWidth="1"/>
    <col min="5415" max="5417" width="11.85546875" style="349" customWidth="1"/>
    <col min="5418" max="5420" width="11.7109375" style="349" customWidth="1"/>
    <col min="5421" max="5632" width="9.140625" style="349"/>
    <col min="5633" max="5633" width="5.85546875" style="349" customWidth="1"/>
    <col min="5634" max="5634" width="28.5703125" style="349" customWidth="1"/>
    <col min="5635" max="5636" width="14.5703125" style="349" customWidth="1"/>
    <col min="5637" max="5637" width="13.140625" style="349" customWidth="1"/>
    <col min="5638" max="5638" width="10.5703125" style="349" customWidth="1"/>
    <col min="5639" max="5639" width="11.5703125" style="349" customWidth="1"/>
    <col min="5640" max="5640" width="12" style="349" customWidth="1"/>
    <col min="5641" max="5641" width="12.140625" style="349" customWidth="1"/>
    <col min="5642" max="5642" width="13.28515625" style="349" customWidth="1"/>
    <col min="5643" max="5643" width="11.140625" style="349" customWidth="1"/>
    <col min="5644" max="5644" width="11.42578125" style="349" customWidth="1"/>
    <col min="5645" max="5646" width="11.85546875" style="349" customWidth="1"/>
    <col min="5647" max="5648" width="12" style="349" customWidth="1"/>
    <col min="5649" max="5649" width="12.28515625" style="349" customWidth="1"/>
    <col min="5650" max="5650" width="11.42578125" style="349" customWidth="1"/>
    <col min="5651" max="5651" width="12.140625" style="349" customWidth="1"/>
    <col min="5652" max="5652" width="11.28515625" style="349" customWidth="1"/>
    <col min="5653" max="5653" width="13" style="349" customWidth="1"/>
    <col min="5654" max="5654" width="13.140625" style="349" customWidth="1"/>
    <col min="5655" max="5655" width="12" style="349" customWidth="1"/>
    <col min="5656" max="5658" width="11.85546875" style="349" customWidth="1"/>
    <col min="5659" max="5661" width="11.5703125" style="349" customWidth="1"/>
    <col min="5662" max="5664" width="12.5703125" style="349" customWidth="1"/>
    <col min="5665" max="5670" width="11.7109375" style="349" customWidth="1"/>
    <col min="5671" max="5673" width="11.85546875" style="349" customWidth="1"/>
    <col min="5674" max="5676" width="11.7109375" style="349" customWidth="1"/>
    <col min="5677" max="5888" width="9.140625" style="349"/>
    <col min="5889" max="5889" width="5.85546875" style="349" customWidth="1"/>
    <col min="5890" max="5890" width="28.5703125" style="349" customWidth="1"/>
    <col min="5891" max="5892" width="14.5703125" style="349" customWidth="1"/>
    <col min="5893" max="5893" width="13.140625" style="349" customWidth="1"/>
    <col min="5894" max="5894" width="10.5703125" style="349" customWidth="1"/>
    <col min="5895" max="5895" width="11.5703125" style="349" customWidth="1"/>
    <col min="5896" max="5896" width="12" style="349" customWidth="1"/>
    <col min="5897" max="5897" width="12.140625" style="349" customWidth="1"/>
    <col min="5898" max="5898" width="13.28515625" style="349" customWidth="1"/>
    <col min="5899" max="5899" width="11.140625" style="349" customWidth="1"/>
    <col min="5900" max="5900" width="11.42578125" style="349" customWidth="1"/>
    <col min="5901" max="5902" width="11.85546875" style="349" customWidth="1"/>
    <col min="5903" max="5904" width="12" style="349" customWidth="1"/>
    <col min="5905" max="5905" width="12.28515625" style="349" customWidth="1"/>
    <col min="5906" max="5906" width="11.42578125" style="349" customWidth="1"/>
    <col min="5907" max="5907" width="12.140625" style="349" customWidth="1"/>
    <col min="5908" max="5908" width="11.28515625" style="349" customWidth="1"/>
    <col min="5909" max="5909" width="13" style="349" customWidth="1"/>
    <col min="5910" max="5910" width="13.140625" style="349" customWidth="1"/>
    <col min="5911" max="5911" width="12" style="349" customWidth="1"/>
    <col min="5912" max="5914" width="11.85546875" style="349" customWidth="1"/>
    <col min="5915" max="5917" width="11.5703125" style="349" customWidth="1"/>
    <col min="5918" max="5920" width="12.5703125" style="349" customWidth="1"/>
    <col min="5921" max="5926" width="11.7109375" style="349" customWidth="1"/>
    <col min="5927" max="5929" width="11.85546875" style="349" customWidth="1"/>
    <col min="5930" max="5932" width="11.7109375" style="349" customWidth="1"/>
    <col min="5933" max="6144" width="9.140625" style="349"/>
    <col min="6145" max="6145" width="5.85546875" style="349" customWidth="1"/>
    <col min="6146" max="6146" width="28.5703125" style="349" customWidth="1"/>
    <col min="6147" max="6148" width="14.5703125" style="349" customWidth="1"/>
    <col min="6149" max="6149" width="13.140625" style="349" customWidth="1"/>
    <col min="6150" max="6150" width="10.5703125" style="349" customWidth="1"/>
    <col min="6151" max="6151" width="11.5703125" style="349" customWidth="1"/>
    <col min="6152" max="6152" width="12" style="349" customWidth="1"/>
    <col min="6153" max="6153" width="12.140625" style="349" customWidth="1"/>
    <col min="6154" max="6154" width="13.28515625" style="349" customWidth="1"/>
    <col min="6155" max="6155" width="11.140625" style="349" customWidth="1"/>
    <col min="6156" max="6156" width="11.42578125" style="349" customWidth="1"/>
    <col min="6157" max="6158" width="11.85546875" style="349" customWidth="1"/>
    <col min="6159" max="6160" width="12" style="349" customWidth="1"/>
    <col min="6161" max="6161" width="12.28515625" style="349" customWidth="1"/>
    <col min="6162" max="6162" width="11.42578125" style="349" customWidth="1"/>
    <col min="6163" max="6163" width="12.140625" style="349" customWidth="1"/>
    <col min="6164" max="6164" width="11.28515625" style="349" customWidth="1"/>
    <col min="6165" max="6165" width="13" style="349" customWidth="1"/>
    <col min="6166" max="6166" width="13.140625" style="349" customWidth="1"/>
    <col min="6167" max="6167" width="12" style="349" customWidth="1"/>
    <col min="6168" max="6170" width="11.85546875" style="349" customWidth="1"/>
    <col min="6171" max="6173" width="11.5703125" style="349" customWidth="1"/>
    <col min="6174" max="6176" width="12.5703125" style="349" customWidth="1"/>
    <col min="6177" max="6182" width="11.7109375" style="349" customWidth="1"/>
    <col min="6183" max="6185" width="11.85546875" style="349" customWidth="1"/>
    <col min="6186" max="6188" width="11.7109375" style="349" customWidth="1"/>
    <col min="6189" max="6400" width="9.140625" style="349"/>
    <col min="6401" max="6401" width="5.85546875" style="349" customWidth="1"/>
    <col min="6402" max="6402" width="28.5703125" style="349" customWidth="1"/>
    <col min="6403" max="6404" width="14.5703125" style="349" customWidth="1"/>
    <col min="6405" max="6405" width="13.140625" style="349" customWidth="1"/>
    <col min="6406" max="6406" width="10.5703125" style="349" customWidth="1"/>
    <col min="6407" max="6407" width="11.5703125" style="349" customWidth="1"/>
    <col min="6408" max="6408" width="12" style="349" customWidth="1"/>
    <col min="6409" max="6409" width="12.140625" style="349" customWidth="1"/>
    <col min="6410" max="6410" width="13.28515625" style="349" customWidth="1"/>
    <col min="6411" max="6411" width="11.140625" style="349" customWidth="1"/>
    <col min="6412" max="6412" width="11.42578125" style="349" customWidth="1"/>
    <col min="6413" max="6414" width="11.85546875" style="349" customWidth="1"/>
    <col min="6415" max="6416" width="12" style="349" customWidth="1"/>
    <col min="6417" max="6417" width="12.28515625" style="349" customWidth="1"/>
    <col min="6418" max="6418" width="11.42578125" style="349" customWidth="1"/>
    <col min="6419" max="6419" width="12.140625" style="349" customWidth="1"/>
    <col min="6420" max="6420" width="11.28515625" style="349" customWidth="1"/>
    <col min="6421" max="6421" width="13" style="349" customWidth="1"/>
    <col min="6422" max="6422" width="13.140625" style="349" customWidth="1"/>
    <col min="6423" max="6423" width="12" style="349" customWidth="1"/>
    <col min="6424" max="6426" width="11.85546875" style="349" customWidth="1"/>
    <col min="6427" max="6429" width="11.5703125" style="349" customWidth="1"/>
    <col min="6430" max="6432" width="12.5703125" style="349" customWidth="1"/>
    <col min="6433" max="6438" width="11.7109375" style="349" customWidth="1"/>
    <col min="6439" max="6441" width="11.85546875" style="349" customWidth="1"/>
    <col min="6442" max="6444" width="11.7109375" style="349" customWidth="1"/>
    <col min="6445" max="6656" width="9.140625" style="349"/>
    <col min="6657" max="6657" width="5.85546875" style="349" customWidth="1"/>
    <col min="6658" max="6658" width="28.5703125" style="349" customWidth="1"/>
    <col min="6659" max="6660" width="14.5703125" style="349" customWidth="1"/>
    <col min="6661" max="6661" width="13.140625" style="349" customWidth="1"/>
    <col min="6662" max="6662" width="10.5703125" style="349" customWidth="1"/>
    <col min="6663" max="6663" width="11.5703125" style="349" customWidth="1"/>
    <col min="6664" max="6664" width="12" style="349" customWidth="1"/>
    <col min="6665" max="6665" width="12.140625" style="349" customWidth="1"/>
    <col min="6666" max="6666" width="13.28515625" style="349" customWidth="1"/>
    <col min="6667" max="6667" width="11.140625" style="349" customWidth="1"/>
    <col min="6668" max="6668" width="11.42578125" style="349" customWidth="1"/>
    <col min="6669" max="6670" width="11.85546875" style="349" customWidth="1"/>
    <col min="6671" max="6672" width="12" style="349" customWidth="1"/>
    <col min="6673" max="6673" width="12.28515625" style="349" customWidth="1"/>
    <col min="6674" max="6674" width="11.42578125" style="349" customWidth="1"/>
    <col min="6675" max="6675" width="12.140625" style="349" customWidth="1"/>
    <col min="6676" max="6676" width="11.28515625" style="349" customWidth="1"/>
    <col min="6677" max="6677" width="13" style="349" customWidth="1"/>
    <col min="6678" max="6678" width="13.140625" style="349" customWidth="1"/>
    <col min="6679" max="6679" width="12" style="349" customWidth="1"/>
    <col min="6680" max="6682" width="11.85546875" style="349" customWidth="1"/>
    <col min="6683" max="6685" width="11.5703125" style="349" customWidth="1"/>
    <col min="6686" max="6688" width="12.5703125" style="349" customWidth="1"/>
    <col min="6689" max="6694" width="11.7109375" style="349" customWidth="1"/>
    <col min="6695" max="6697" width="11.85546875" style="349" customWidth="1"/>
    <col min="6698" max="6700" width="11.7109375" style="349" customWidth="1"/>
    <col min="6701" max="6912" width="9.140625" style="349"/>
    <col min="6913" max="6913" width="5.85546875" style="349" customWidth="1"/>
    <col min="6914" max="6914" width="28.5703125" style="349" customWidth="1"/>
    <col min="6915" max="6916" width="14.5703125" style="349" customWidth="1"/>
    <col min="6917" max="6917" width="13.140625" style="349" customWidth="1"/>
    <col min="6918" max="6918" width="10.5703125" style="349" customWidth="1"/>
    <col min="6919" max="6919" width="11.5703125" style="349" customWidth="1"/>
    <col min="6920" max="6920" width="12" style="349" customWidth="1"/>
    <col min="6921" max="6921" width="12.140625" style="349" customWidth="1"/>
    <col min="6922" max="6922" width="13.28515625" style="349" customWidth="1"/>
    <col min="6923" max="6923" width="11.140625" style="349" customWidth="1"/>
    <col min="6924" max="6924" width="11.42578125" style="349" customWidth="1"/>
    <col min="6925" max="6926" width="11.85546875" style="349" customWidth="1"/>
    <col min="6927" max="6928" width="12" style="349" customWidth="1"/>
    <col min="6929" max="6929" width="12.28515625" style="349" customWidth="1"/>
    <col min="6930" max="6930" width="11.42578125" style="349" customWidth="1"/>
    <col min="6931" max="6931" width="12.140625" style="349" customWidth="1"/>
    <col min="6932" max="6932" width="11.28515625" style="349" customWidth="1"/>
    <col min="6933" max="6933" width="13" style="349" customWidth="1"/>
    <col min="6934" max="6934" width="13.140625" style="349" customWidth="1"/>
    <col min="6935" max="6935" width="12" style="349" customWidth="1"/>
    <col min="6936" max="6938" width="11.85546875" style="349" customWidth="1"/>
    <col min="6939" max="6941" width="11.5703125" style="349" customWidth="1"/>
    <col min="6942" max="6944" width="12.5703125" style="349" customWidth="1"/>
    <col min="6945" max="6950" width="11.7109375" style="349" customWidth="1"/>
    <col min="6951" max="6953" width="11.85546875" style="349" customWidth="1"/>
    <col min="6954" max="6956" width="11.7109375" style="349" customWidth="1"/>
    <col min="6957" max="7168" width="9.140625" style="349"/>
    <col min="7169" max="7169" width="5.85546875" style="349" customWidth="1"/>
    <col min="7170" max="7170" width="28.5703125" style="349" customWidth="1"/>
    <col min="7171" max="7172" width="14.5703125" style="349" customWidth="1"/>
    <col min="7173" max="7173" width="13.140625" style="349" customWidth="1"/>
    <col min="7174" max="7174" width="10.5703125" style="349" customWidth="1"/>
    <col min="7175" max="7175" width="11.5703125" style="349" customWidth="1"/>
    <col min="7176" max="7176" width="12" style="349" customWidth="1"/>
    <col min="7177" max="7177" width="12.140625" style="349" customWidth="1"/>
    <col min="7178" max="7178" width="13.28515625" style="349" customWidth="1"/>
    <col min="7179" max="7179" width="11.140625" style="349" customWidth="1"/>
    <col min="7180" max="7180" width="11.42578125" style="349" customWidth="1"/>
    <col min="7181" max="7182" width="11.85546875" style="349" customWidth="1"/>
    <col min="7183" max="7184" width="12" style="349" customWidth="1"/>
    <col min="7185" max="7185" width="12.28515625" style="349" customWidth="1"/>
    <col min="7186" max="7186" width="11.42578125" style="349" customWidth="1"/>
    <col min="7187" max="7187" width="12.140625" style="349" customWidth="1"/>
    <col min="7188" max="7188" width="11.28515625" style="349" customWidth="1"/>
    <col min="7189" max="7189" width="13" style="349" customWidth="1"/>
    <col min="7190" max="7190" width="13.140625" style="349" customWidth="1"/>
    <col min="7191" max="7191" width="12" style="349" customWidth="1"/>
    <col min="7192" max="7194" width="11.85546875" style="349" customWidth="1"/>
    <col min="7195" max="7197" width="11.5703125" style="349" customWidth="1"/>
    <col min="7198" max="7200" width="12.5703125" style="349" customWidth="1"/>
    <col min="7201" max="7206" width="11.7109375" style="349" customWidth="1"/>
    <col min="7207" max="7209" width="11.85546875" style="349" customWidth="1"/>
    <col min="7210" max="7212" width="11.7109375" style="349" customWidth="1"/>
    <col min="7213" max="7424" width="9.140625" style="349"/>
    <col min="7425" max="7425" width="5.85546875" style="349" customWidth="1"/>
    <col min="7426" max="7426" width="28.5703125" style="349" customWidth="1"/>
    <col min="7427" max="7428" width="14.5703125" style="349" customWidth="1"/>
    <col min="7429" max="7429" width="13.140625" style="349" customWidth="1"/>
    <col min="7430" max="7430" width="10.5703125" style="349" customWidth="1"/>
    <col min="7431" max="7431" width="11.5703125" style="349" customWidth="1"/>
    <col min="7432" max="7432" width="12" style="349" customWidth="1"/>
    <col min="7433" max="7433" width="12.140625" style="349" customWidth="1"/>
    <col min="7434" max="7434" width="13.28515625" style="349" customWidth="1"/>
    <col min="7435" max="7435" width="11.140625" style="349" customWidth="1"/>
    <col min="7436" max="7436" width="11.42578125" style="349" customWidth="1"/>
    <col min="7437" max="7438" width="11.85546875" style="349" customWidth="1"/>
    <col min="7439" max="7440" width="12" style="349" customWidth="1"/>
    <col min="7441" max="7441" width="12.28515625" style="349" customWidth="1"/>
    <col min="7442" max="7442" width="11.42578125" style="349" customWidth="1"/>
    <col min="7443" max="7443" width="12.140625" style="349" customWidth="1"/>
    <col min="7444" max="7444" width="11.28515625" style="349" customWidth="1"/>
    <col min="7445" max="7445" width="13" style="349" customWidth="1"/>
    <col min="7446" max="7446" width="13.140625" style="349" customWidth="1"/>
    <col min="7447" max="7447" width="12" style="349" customWidth="1"/>
    <col min="7448" max="7450" width="11.85546875" style="349" customWidth="1"/>
    <col min="7451" max="7453" width="11.5703125" style="349" customWidth="1"/>
    <col min="7454" max="7456" width="12.5703125" style="349" customWidth="1"/>
    <col min="7457" max="7462" width="11.7109375" style="349" customWidth="1"/>
    <col min="7463" max="7465" width="11.85546875" style="349" customWidth="1"/>
    <col min="7466" max="7468" width="11.7109375" style="349" customWidth="1"/>
    <col min="7469" max="7680" width="9.140625" style="349"/>
    <col min="7681" max="7681" width="5.85546875" style="349" customWidth="1"/>
    <col min="7682" max="7682" width="28.5703125" style="349" customWidth="1"/>
    <col min="7683" max="7684" width="14.5703125" style="349" customWidth="1"/>
    <col min="7685" max="7685" width="13.140625" style="349" customWidth="1"/>
    <col min="7686" max="7686" width="10.5703125" style="349" customWidth="1"/>
    <col min="7687" max="7687" width="11.5703125" style="349" customWidth="1"/>
    <col min="7688" max="7688" width="12" style="349" customWidth="1"/>
    <col min="7689" max="7689" width="12.140625" style="349" customWidth="1"/>
    <col min="7690" max="7690" width="13.28515625" style="349" customWidth="1"/>
    <col min="7691" max="7691" width="11.140625" style="349" customWidth="1"/>
    <col min="7692" max="7692" width="11.42578125" style="349" customWidth="1"/>
    <col min="7693" max="7694" width="11.85546875" style="349" customWidth="1"/>
    <col min="7695" max="7696" width="12" style="349" customWidth="1"/>
    <col min="7697" max="7697" width="12.28515625" style="349" customWidth="1"/>
    <col min="7698" max="7698" width="11.42578125" style="349" customWidth="1"/>
    <col min="7699" max="7699" width="12.140625" style="349" customWidth="1"/>
    <col min="7700" max="7700" width="11.28515625" style="349" customWidth="1"/>
    <col min="7701" max="7701" width="13" style="349" customWidth="1"/>
    <col min="7702" max="7702" width="13.140625" style="349" customWidth="1"/>
    <col min="7703" max="7703" width="12" style="349" customWidth="1"/>
    <col min="7704" max="7706" width="11.85546875" style="349" customWidth="1"/>
    <col min="7707" max="7709" width="11.5703125" style="349" customWidth="1"/>
    <col min="7710" max="7712" width="12.5703125" style="349" customWidth="1"/>
    <col min="7713" max="7718" width="11.7109375" style="349" customWidth="1"/>
    <col min="7719" max="7721" width="11.85546875" style="349" customWidth="1"/>
    <col min="7722" max="7724" width="11.7109375" style="349" customWidth="1"/>
    <col min="7725" max="7936" width="9.140625" style="349"/>
    <col min="7937" max="7937" width="5.85546875" style="349" customWidth="1"/>
    <col min="7938" max="7938" width="28.5703125" style="349" customWidth="1"/>
    <col min="7939" max="7940" width="14.5703125" style="349" customWidth="1"/>
    <col min="7941" max="7941" width="13.140625" style="349" customWidth="1"/>
    <col min="7942" max="7942" width="10.5703125" style="349" customWidth="1"/>
    <col min="7943" max="7943" width="11.5703125" style="349" customWidth="1"/>
    <col min="7944" max="7944" width="12" style="349" customWidth="1"/>
    <col min="7945" max="7945" width="12.140625" style="349" customWidth="1"/>
    <col min="7946" max="7946" width="13.28515625" style="349" customWidth="1"/>
    <col min="7947" max="7947" width="11.140625" style="349" customWidth="1"/>
    <col min="7948" max="7948" width="11.42578125" style="349" customWidth="1"/>
    <col min="7949" max="7950" width="11.85546875" style="349" customWidth="1"/>
    <col min="7951" max="7952" width="12" style="349" customWidth="1"/>
    <col min="7953" max="7953" width="12.28515625" style="349" customWidth="1"/>
    <col min="7954" max="7954" width="11.42578125" style="349" customWidth="1"/>
    <col min="7955" max="7955" width="12.140625" style="349" customWidth="1"/>
    <col min="7956" max="7956" width="11.28515625" style="349" customWidth="1"/>
    <col min="7957" max="7957" width="13" style="349" customWidth="1"/>
    <col min="7958" max="7958" width="13.140625" style="349" customWidth="1"/>
    <col min="7959" max="7959" width="12" style="349" customWidth="1"/>
    <col min="7960" max="7962" width="11.85546875" style="349" customWidth="1"/>
    <col min="7963" max="7965" width="11.5703125" style="349" customWidth="1"/>
    <col min="7966" max="7968" width="12.5703125" style="349" customWidth="1"/>
    <col min="7969" max="7974" width="11.7109375" style="349" customWidth="1"/>
    <col min="7975" max="7977" width="11.85546875" style="349" customWidth="1"/>
    <col min="7978" max="7980" width="11.7109375" style="349" customWidth="1"/>
    <col min="7981" max="8192" width="9.140625" style="349"/>
    <col min="8193" max="8193" width="5.85546875" style="349" customWidth="1"/>
    <col min="8194" max="8194" width="28.5703125" style="349" customWidth="1"/>
    <col min="8195" max="8196" width="14.5703125" style="349" customWidth="1"/>
    <col min="8197" max="8197" width="13.140625" style="349" customWidth="1"/>
    <col min="8198" max="8198" width="10.5703125" style="349" customWidth="1"/>
    <col min="8199" max="8199" width="11.5703125" style="349" customWidth="1"/>
    <col min="8200" max="8200" width="12" style="349" customWidth="1"/>
    <col min="8201" max="8201" width="12.140625" style="349" customWidth="1"/>
    <col min="8202" max="8202" width="13.28515625" style="349" customWidth="1"/>
    <col min="8203" max="8203" width="11.140625" style="349" customWidth="1"/>
    <col min="8204" max="8204" width="11.42578125" style="349" customWidth="1"/>
    <col min="8205" max="8206" width="11.85546875" style="349" customWidth="1"/>
    <col min="8207" max="8208" width="12" style="349" customWidth="1"/>
    <col min="8209" max="8209" width="12.28515625" style="349" customWidth="1"/>
    <col min="8210" max="8210" width="11.42578125" style="349" customWidth="1"/>
    <col min="8211" max="8211" width="12.140625" style="349" customWidth="1"/>
    <col min="8212" max="8212" width="11.28515625" style="349" customWidth="1"/>
    <col min="8213" max="8213" width="13" style="349" customWidth="1"/>
    <col min="8214" max="8214" width="13.140625" style="349" customWidth="1"/>
    <col min="8215" max="8215" width="12" style="349" customWidth="1"/>
    <col min="8216" max="8218" width="11.85546875" style="349" customWidth="1"/>
    <col min="8219" max="8221" width="11.5703125" style="349" customWidth="1"/>
    <col min="8222" max="8224" width="12.5703125" style="349" customWidth="1"/>
    <col min="8225" max="8230" width="11.7109375" style="349" customWidth="1"/>
    <col min="8231" max="8233" width="11.85546875" style="349" customWidth="1"/>
    <col min="8234" max="8236" width="11.7109375" style="349" customWidth="1"/>
    <col min="8237" max="8448" width="9.140625" style="349"/>
    <col min="8449" max="8449" width="5.85546875" style="349" customWidth="1"/>
    <col min="8450" max="8450" width="28.5703125" style="349" customWidth="1"/>
    <col min="8451" max="8452" width="14.5703125" style="349" customWidth="1"/>
    <col min="8453" max="8453" width="13.140625" style="349" customWidth="1"/>
    <col min="8454" max="8454" width="10.5703125" style="349" customWidth="1"/>
    <col min="8455" max="8455" width="11.5703125" style="349" customWidth="1"/>
    <col min="8456" max="8456" width="12" style="349" customWidth="1"/>
    <col min="8457" max="8457" width="12.140625" style="349" customWidth="1"/>
    <col min="8458" max="8458" width="13.28515625" style="349" customWidth="1"/>
    <col min="8459" max="8459" width="11.140625" style="349" customWidth="1"/>
    <col min="8460" max="8460" width="11.42578125" style="349" customWidth="1"/>
    <col min="8461" max="8462" width="11.85546875" style="349" customWidth="1"/>
    <col min="8463" max="8464" width="12" style="349" customWidth="1"/>
    <col min="8465" max="8465" width="12.28515625" style="349" customWidth="1"/>
    <col min="8466" max="8466" width="11.42578125" style="349" customWidth="1"/>
    <col min="8467" max="8467" width="12.140625" style="349" customWidth="1"/>
    <col min="8468" max="8468" width="11.28515625" style="349" customWidth="1"/>
    <col min="8469" max="8469" width="13" style="349" customWidth="1"/>
    <col min="8470" max="8470" width="13.140625" style="349" customWidth="1"/>
    <col min="8471" max="8471" width="12" style="349" customWidth="1"/>
    <col min="8472" max="8474" width="11.85546875" style="349" customWidth="1"/>
    <col min="8475" max="8477" width="11.5703125" style="349" customWidth="1"/>
    <col min="8478" max="8480" width="12.5703125" style="349" customWidth="1"/>
    <col min="8481" max="8486" width="11.7109375" style="349" customWidth="1"/>
    <col min="8487" max="8489" width="11.85546875" style="349" customWidth="1"/>
    <col min="8490" max="8492" width="11.7109375" style="349" customWidth="1"/>
    <col min="8493" max="8704" width="9.140625" style="349"/>
    <col min="8705" max="8705" width="5.85546875" style="349" customWidth="1"/>
    <col min="8706" max="8706" width="28.5703125" style="349" customWidth="1"/>
    <col min="8707" max="8708" width="14.5703125" style="349" customWidth="1"/>
    <col min="8709" max="8709" width="13.140625" style="349" customWidth="1"/>
    <col min="8710" max="8710" width="10.5703125" style="349" customWidth="1"/>
    <col min="8711" max="8711" width="11.5703125" style="349" customWidth="1"/>
    <col min="8712" max="8712" width="12" style="349" customWidth="1"/>
    <col min="8713" max="8713" width="12.140625" style="349" customWidth="1"/>
    <col min="8714" max="8714" width="13.28515625" style="349" customWidth="1"/>
    <col min="8715" max="8715" width="11.140625" style="349" customWidth="1"/>
    <col min="8716" max="8716" width="11.42578125" style="349" customWidth="1"/>
    <col min="8717" max="8718" width="11.85546875" style="349" customWidth="1"/>
    <col min="8719" max="8720" width="12" style="349" customWidth="1"/>
    <col min="8721" max="8721" width="12.28515625" style="349" customWidth="1"/>
    <col min="8722" max="8722" width="11.42578125" style="349" customWidth="1"/>
    <col min="8723" max="8723" width="12.140625" style="349" customWidth="1"/>
    <col min="8724" max="8724" width="11.28515625" style="349" customWidth="1"/>
    <col min="8725" max="8725" width="13" style="349" customWidth="1"/>
    <col min="8726" max="8726" width="13.140625" style="349" customWidth="1"/>
    <col min="8727" max="8727" width="12" style="349" customWidth="1"/>
    <col min="8728" max="8730" width="11.85546875" style="349" customWidth="1"/>
    <col min="8731" max="8733" width="11.5703125" style="349" customWidth="1"/>
    <col min="8734" max="8736" width="12.5703125" style="349" customWidth="1"/>
    <col min="8737" max="8742" width="11.7109375" style="349" customWidth="1"/>
    <col min="8743" max="8745" width="11.85546875" style="349" customWidth="1"/>
    <col min="8746" max="8748" width="11.7109375" style="349" customWidth="1"/>
    <col min="8749" max="8960" width="9.140625" style="349"/>
    <col min="8961" max="8961" width="5.85546875" style="349" customWidth="1"/>
    <col min="8962" max="8962" width="28.5703125" style="349" customWidth="1"/>
    <col min="8963" max="8964" width="14.5703125" style="349" customWidth="1"/>
    <col min="8965" max="8965" width="13.140625" style="349" customWidth="1"/>
    <col min="8966" max="8966" width="10.5703125" style="349" customWidth="1"/>
    <col min="8967" max="8967" width="11.5703125" style="349" customWidth="1"/>
    <col min="8968" max="8968" width="12" style="349" customWidth="1"/>
    <col min="8969" max="8969" width="12.140625" style="349" customWidth="1"/>
    <col min="8970" max="8970" width="13.28515625" style="349" customWidth="1"/>
    <col min="8971" max="8971" width="11.140625" style="349" customWidth="1"/>
    <col min="8972" max="8972" width="11.42578125" style="349" customWidth="1"/>
    <col min="8973" max="8974" width="11.85546875" style="349" customWidth="1"/>
    <col min="8975" max="8976" width="12" style="349" customWidth="1"/>
    <col min="8977" max="8977" width="12.28515625" style="349" customWidth="1"/>
    <col min="8978" max="8978" width="11.42578125" style="349" customWidth="1"/>
    <col min="8979" max="8979" width="12.140625" style="349" customWidth="1"/>
    <col min="8980" max="8980" width="11.28515625" style="349" customWidth="1"/>
    <col min="8981" max="8981" width="13" style="349" customWidth="1"/>
    <col min="8982" max="8982" width="13.140625" style="349" customWidth="1"/>
    <col min="8983" max="8983" width="12" style="349" customWidth="1"/>
    <col min="8984" max="8986" width="11.85546875" style="349" customWidth="1"/>
    <col min="8987" max="8989" width="11.5703125" style="349" customWidth="1"/>
    <col min="8990" max="8992" width="12.5703125" style="349" customWidth="1"/>
    <col min="8993" max="8998" width="11.7109375" style="349" customWidth="1"/>
    <col min="8999" max="9001" width="11.85546875" style="349" customWidth="1"/>
    <col min="9002" max="9004" width="11.7109375" style="349" customWidth="1"/>
    <col min="9005" max="9216" width="9.140625" style="349"/>
    <col min="9217" max="9217" width="5.85546875" style="349" customWidth="1"/>
    <col min="9218" max="9218" width="28.5703125" style="349" customWidth="1"/>
    <col min="9219" max="9220" width="14.5703125" style="349" customWidth="1"/>
    <col min="9221" max="9221" width="13.140625" style="349" customWidth="1"/>
    <col min="9222" max="9222" width="10.5703125" style="349" customWidth="1"/>
    <col min="9223" max="9223" width="11.5703125" style="349" customWidth="1"/>
    <col min="9224" max="9224" width="12" style="349" customWidth="1"/>
    <col min="9225" max="9225" width="12.140625" style="349" customWidth="1"/>
    <col min="9226" max="9226" width="13.28515625" style="349" customWidth="1"/>
    <col min="9227" max="9227" width="11.140625" style="349" customWidth="1"/>
    <col min="9228" max="9228" width="11.42578125" style="349" customWidth="1"/>
    <col min="9229" max="9230" width="11.85546875" style="349" customWidth="1"/>
    <col min="9231" max="9232" width="12" style="349" customWidth="1"/>
    <col min="9233" max="9233" width="12.28515625" style="349" customWidth="1"/>
    <col min="9234" max="9234" width="11.42578125" style="349" customWidth="1"/>
    <col min="9235" max="9235" width="12.140625" style="349" customWidth="1"/>
    <col min="9236" max="9236" width="11.28515625" style="349" customWidth="1"/>
    <col min="9237" max="9237" width="13" style="349" customWidth="1"/>
    <col min="9238" max="9238" width="13.140625" style="349" customWidth="1"/>
    <col min="9239" max="9239" width="12" style="349" customWidth="1"/>
    <col min="9240" max="9242" width="11.85546875" style="349" customWidth="1"/>
    <col min="9243" max="9245" width="11.5703125" style="349" customWidth="1"/>
    <col min="9246" max="9248" width="12.5703125" style="349" customWidth="1"/>
    <col min="9249" max="9254" width="11.7109375" style="349" customWidth="1"/>
    <col min="9255" max="9257" width="11.85546875" style="349" customWidth="1"/>
    <col min="9258" max="9260" width="11.7109375" style="349" customWidth="1"/>
    <col min="9261" max="9472" width="9.140625" style="349"/>
    <col min="9473" max="9473" width="5.85546875" style="349" customWidth="1"/>
    <col min="9474" max="9474" width="28.5703125" style="349" customWidth="1"/>
    <col min="9475" max="9476" width="14.5703125" style="349" customWidth="1"/>
    <col min="9477" max="9477" width="13.140625" style="349" customWidth="1"/>
    <col min="9478" max="9478" width="10.5703125" style="349" customWidth="1"/>
    <col min="9479" max="9479" width="11.5703125" style="349" customWidth="1"/>
    <col min="9480" max="9480" width="12" style="349" customWidth="1"/>
    <col min="9481" max="9481" width="12.140625" style="349" customWidth="1"/>
    <col min="9482" max="9482" width="13.28515625" style="349" customWidth="1"/>
    <col min="9483" max="9483" width="11.140625" style="349" customWidth="1"/>
    <col min="9484" max="9484" width="11.42578125" style="349" customWidth="1"/>
    <col min="9485" max="9486" width="11.85546875" style="349" customWidth="1"/>
    <col min="9487" max="9488" width="12" style="349" customWidth="1"/>
    <col min="9489" max="9489" width="12.28515625" style="349" customWidth="1"/>
    <col min="9490" max="9490" width="11.42578125" style="349" customWidth="1"/>
    <col min="9491" max="9491" width="12.140625" style="349" customWidth="1"/>
    <col min="9492" max="9492" width="11.28515625" style="349" customWidth="1"/>
    <col min="9493" max="9493" width="13" style="349" customWidth="1"/>
    <col min="9494" max="9494" width="13.140625" style="349" customWidth="1"/>
    <col min="9495" max="9495" width="12" style="349" customWidth="1"/>
    <col min="9496" max="9498" width="11.85546875" style="349" customWidth="1"/>
    <col min="9499" max="9501" width="11.5703125" style="349" customWidth="1"/>
    <col min="9502" max="9504" width="12.5703125" style="349" customWidth="1"/>
    <col min="9505" max="9510" width="11.7109375" style="349" customWidth="1"/>
    <col min="9511" max="9513" width="11.85546875" style="349" customWidth="1"/>
    <col min="9514" max="9516" width="11.7109375" style="349" customWidth="1"/>
    <col min="9517" max="9728" width="9.140625" style="349"/>
    <col min="9729" max="9729" width="5.85546875" style="349" customWidth="1"/>
    <col min="9730" max="9730" width="28.5703125" style="349" customWidth="1"/>
    <col min="9731" max="9732" width="14.5703125" style="349" customWidth="1"/>
    <col min="9733" max="9733" width="13.140625" style="349" customWidth="1"/>
    <col min="9734" max="9734" width="10.5703125" style="349" customWidth="1"/>
    <col min="9735" max="9735" width="11.5703125" style="349" customWidth="1"/>
    <col min="9736" max="9736" width="12" style="349" customWidth="1"/>
    <col min="9737" max="9737" width="12.140625" style="349" customWidth="1"/>
    <col min="9738" max="9738" width="13.28515625" style="349" customWidth="1"/>
    <col min="9739" max="9739" width="11.140625" style="349" customWidth="1"/>
    <col min="9740" max="9740" width="11.42578125" style="349" customWidth="1"/>
    <col min="9741" max="9742" width="11.85546875" style="349" customWidth="1"/>
    <col min="9743" max="9744" width="12" style="349" customWidth="1"/>
    <col min="9745" max="9745" width="12.28515625" style="349" customWidth="1"/>
    <col min="9746" max="9746" width="11.42578125" style="349" customWidth="1"/>
    <col min="9747" max="9747" width="12.140625" style="349" customWidth="1"/>
    <col min="9748" max="9748" width="11.28515625" style="349" customWidth="1"/>
    <col min="9749" max="9749" width="13" style="349" customWidth="1"/>
    <col min="9750" max="9750" width="13.140625" style="349" customWidth="1"/>
    <col min="9751" max="9751" width="12" style="349" customWidth="1"/>
    <col min="9752" max="9754" width="11.85546875" style="349" customWidth="1"/>
    <col min="9755" max="9757" width="11.5703125" style="349" customWidth="1"/>
    <col min="9758" max="9760" width="12.5703125" style="349" customWidth="1"/>
    <col min="9761" max="9766" width="11.7109375" style="349" customWidth="1"/>
    <col min="9767" max="9769" width="11.85546875" style="349" customWidth="1"/>
    <col min="9770" max="9772" width="11.7109375" style="349" customWidth="1"/>
    <col min="9773" max="9984" width="9.140625" style="349"/>
    <col min="9985" max="9985" width="5.85546875" style="349" customWidth="1"/>
    <col min="9986" max="9986" width="28.5703125" style="349" customWidth="1"/>
    <col min="9987" max="9988" width="14.5703125" style="349" customWidth="1"/>
    <col min="9989" max="9989" width="13.140625" style="349" customWidth="1"/>
    <col min="9990" max="9990" width="10.5703125" style="349" customWidth="1"/>
    <col min="9991" max="9991" width="11.5703125" style="349" customWidth="1"/>
    <col min="9992" max="9992" width="12" style="349" customWidth="1"/>
    <col min="9993" max="9993" width="12.140625" style="349" customWidth="1"/>
    <col min="9994" max="9994" width="13.28515625" style="349" customWidth="1"/>
    <col min="9995" max="9995" width="11.140625" style="349" customWidth="1"/>
    <col min="9996" max="9996" width="11.42578125" style="349" customWidth="1"/>
    <col min="9997" max="9998" width="11.85546875" style="349" customWidth="1"/>
    <col min="9999" max="10000" width="12" style="349" customWidth="1"/>
    <col min="10001" max="10001" width="12.28515625" style="349" customWidth="1"/>
    <col min="10002" max="10002" width="11.42578125" style="349" customWidth="1"/>
    <col min="10003" max="10003" width="12.140625" style="349" customWidth="1"/>
    <col min="10004" max="10004" width="11.28515625" style="349" customWidth="1"/>
    <col min="10005" max="10005" width="13" style="349" customWidth="1"/>
    <col min="10006" max="10006" width="13.140625" style="349" customWidth="1"/>
    <col min="10007" max="10007" width="12" style="349" customWidth="1"/>
    <col min="10008" max="10010" width="11.85546875" style="349" customWidth="1"/>
    <col min="10011" max="10013" width="11.5703125" style="349" customWidth="1"/>
    <col min="10014" max="10016" width="12.5703125" style="349" customWidth="1"/>
    <col min="10017" max="10022" width="11.7109375" style="349" customWidth="1"/>
    <col min="10023" max="10025" width="11.85546875" style="349" customWidth="1"/>
    <col min="10026" max="10028" width="11.7109375" style="349" customWidth="1"/>
    <col min="10029" max="10240" width="9.140625" style="349"/>
    <col min="10241" max="10241" width="5.85546875" style="349" customWidth="1"/>
    <col min="10242" max="10242" width="28.5703125" style="349" customWidth="1"/>
    <col min="10243" max="10244" width="14.5703125" style="349" customWidth="1"/>
    <col min="10245" max="10245" width="13.140625" style="349" customWidth="1"/>
    <col min="10246" max="10246" width="10.5703125" style="349" customWidth="1"/>
    <col min="10247" max="10247" width="11.5703125" style="349" customWidth="1"/>
    <col min="10248" max="10248" width="12" style="349" customWidth="1"/>
    <col min="10249" max="10249" width="12.140625" style="349" customWidth="1"/>
    <col min="10250" max="10250" width="13.28515625" style="349" customWidth="1"/>
    <col min="10251" max="10251" width="11.140625" style="349" customWidth="1"/>
    <col min="10252" max="10252" width="11.42578125" style="349" customWidth="1"/>
    <col min="10253" max="10254" width="11.85546875" style="349" customWidth="1"/>
    <col min="10255" max="10256" width="12" style="349" customWidth="1"/>
    <col min="10257" max="10257" width="12.28515625" style="349" customWidth="1"/>
    <col min="10258" max="10258" width="11.42578125" style="349" customWidth="1"/>
    <col min="10259" max="10259" width="12.140625" style="349" customWidth="1"/>
    <col min="10260" max="10260" width="11.28515625" style="349" customWidth="1"/>
    <col min="10261" max="10261" width="13" style="349" customWidth="1"/>
    <col min="10262" max="10262" width="13.140625" style="349" customWidth="1"/>
    <col min="10263" max="10263" width="12" style="349" customWidth="1"/>
    <col min="10264" max="10266" width="11.85546875" style="349" customWidth="1"/>
    <col min="10267" max="10269" width="11.5703125" style="349" customWidth="1"/>
    <col min="10270" max="10272" width="12.5703125" style="349" customWidth="1"/>
    <col min="10273" max="10278" width="11.7109375" style="349" customWidth="1"/>
    <col min="10279" max="10281" width="11.85546875" style="349" customWidth="1"/>
    <col min="10282" max="10284" width="11.7109375" style="349" customWidth="1"/>
    <col min="10285" max="10496" width="9.140625" style="349"/>
    <col min="10497" max="10497" width="5.85546875" style="349" customWidth="1"/>
    <col min="10498" max="10498" width="28.5703125" style="349" customWidth="1"/>
    <col min="10499" max="10500" width="14.5703125" style="349" customWidth="1"/>
    <col min="10501" max="10501" width="13.140625" style="349" customWidth="1"/>
    <col min="10502" max="10502" width="10.5703125" style="349" customWidth="1"/>
    <col min="10503" max="10503" width="11.5703125" style="349" customWidth="1"/>
    <col min="10504" max="10504" width="12" style="349" customWidth="1"/>
    <col min="10505" max="10505" width="12.140625" style="349" customWidth="1"/>
    <col min="10506" max="10506" width="13.28515625" style="349" customWidth="1"/>
    <col min="10507" max="10507" width="11.140625" style="349" customWidth="1"/>
    <col min="10508" max="10508" width="11.42578125" style="349" customWidth="1"/>
    <col min="10509" max="10510" width="11.85546875" style="349" customWidth="1"/>
    <col min="10511" max="10512" width="12" style="349" customWidth="1"/>
    <col min="10513" max="10513" width="12.28515625" style="349" customWidth="1"/>
    <col min="10514" max="10514" width="11.42578125" style="349" customWidth="1"/>
    <col min="10515" max="10515" width="12.140625" style="349" customWidth="1"/>
    <col min="10516" max="10516" width="11.28515625" style="349" customWidth="1"/>
    <col min="10517" max="10517" width="13" style="349" customWidth="1"/>
    <col min="10518" max="10518" width="13.140625" style="349" customWidth="1"/>
    <col min="10519" max="10519" width="12" style="349" customWidth="1"/>
    <col min="10520" max="10522" width="11.85546875" style="349" customWidth="1"/>
    <col min="10523" max="10525" width="11.5703125" style="349" customWidth="1"/>
    <col min="10526" max="10528" width="12.5703125" style="349" customWidth="1"/>
    <col min="10529" max="10534" width="11.7109375" style="349" customWidth="1"/>
    <col min="10535" max="10537" width="11.85546875" style="349" customWidth="1"/>
    <col min="10538" max="10540" width="11.7109375" style="349" customWidth="1"/>
    <col min="10541" max="10752" width="9.140625" style="349"/>
    <col min="10753" max="10753" width="5.85546875" style="349" customWidth="1"/>
    <col min="10754" max="10754" width="28.5703125" style="349" customWidth="1"/>
    <col min="10755" max="10756" width="14.5703125" style="349" customWidth="1"/>
    <col min="10757" max="10757" width="13.140625" style="349" customWidth="1"/>
    <col min="10758" max="10758" width="10.5703125" style="349" customWidth="1"/>
    <col min="10759" max="10759" width="11.5703125" style="349" customWidth="1"/>
    <col min="10760" max="10760" width="12" style="349" customWidth="1"/>
    <col min="10761" max="10761" width="12.140625" style="349" customWidth="1"/>
    <col min="10762" max="10762" width="13.28515625" style="349" customWidth="1"/>
    <col min="10763" max="10763" width="11.140625" style="349" customWidth="1"/>
    <col min="10764" max="10764" width="11.42578125" style="349" customWidth="1"/>
    <col min="10765" max="10766" width="11.85546875" style="349" customWidth="1"/>
    <col min="10767" max="10768" width="12" style="349" customWidth="1"/>
    <col min="10769" max="10769" width="12.28515625" style="349" customWidth="1"/>
    <col min="10770" max="10770" width="11.42578125" style="349" customWidth="1"/>
    <col min="10771" max="10771" width="12.140625" style="349" customWidth="1"/>
    <col min="10772" max="10772" width="11.28515625" style="349" customWidth="1"/>
    <col min="10773" max="10773" width="13" style="349" customWidth="1"/>
    <col min="10774" max="10774" width="13.140625" style="349" customWidth="1"/>
    <col min="10775" max="10775" width="12" style="349" customWidth="1"/>
    <col min="10776" max="10778" width="11.85546875" style="349" customWidth="1"/>
    <col min="10779" max="10781" width="11.5703125" style="349" customWidth="1"/>
    <col min="10782" max="10784" width="12.5703125" style="349" customWidth="1"/>
    <col min="10785" max="10790" width="11.7109375" style="349" customWidth="1"/>
    <col min="10791" max="10793" width="11.85546875" style="349" customWidth="1"/>
    <col min="10794" max="10796" width="11.7109375" style="349" customWidth="1"/>
    <col min="10797" max="11008" width="9.140625" style="349"/>
    <col min="11009" max="11009" width="5.85546875" style="349" customWidth="1"/>
    <col min="11010" max="11010" width="28.5703125" style="349" customWidth="1"/>
    <col min="11011" max="11012" width="14.5703125" style="349" customWidth="1"/>
    <col min="11013" max="11013" width="13.140625" style="349" customWidth="1"/>
    <col min="11014" max="11014" width="10.5703125" style="349" customWidth="1"/>
    <col min="11015" max="11015" width="11.5703125" style="349" customWidth="1"/>
    <col min="11016" max="11016" width="12" style="349" customWidth="1"/>
    <col min="11017" max="11017" width="12.140625" style="349" customWidth="1"/>
    <col min="11018" max="11018" width="13.28515625" style="349" customWidth="1"/>
    <col min="11019" max="11019" width="11.140625" style="349" customWidth="1"/>
    <col min="11020" max="11020" width="11.42578125" style="349" customWidth="1"/>
    <col min="11021" max="11022" width="11.85546875" style="349" customWidth="1"/>
    <col min="11023" max="11024" width="12" style="349" customWidth="1"/>
    <col min="11025" max="11025" width="12.28515625" style="349" customWidth="1"/>
    <col min="11026" max="11026" width="11.42578125" style="349" customWidth="1"/>
    <col min="11027" max="11027" width="12.140625" style="349" customWidth="1"/>
    <col min="11028" max="11028" width="11.28515625" style="349" customWidth="1"/>
    <col min="11029" max="11029" width="13" style="349" customWidth="1"/>
    <col min="11030" max="11030" width="13.140625" style="349" customWidth="1"/>
    <col min="11031" max="11031" width="12" style="349" customWidth="1"/>
    <col min="11032" max="11034" width="11.85546875" style="349" customWidth="1"/>
    <col min="11035" max="11037" width="11.5703125" style="349" customWidth="1"/>
    <col min="11038" max="11040" width="12.5703125" style="349" customWidth="1"/>
    <col min="11041" max="11046" width="11.7109375" style="349" customWidth="1"/>
    <col min="11047" max="11049" width="11.85546875" style="349" customWidth="1"/>
    <col min="11050" max="11052" width="11.7109375" style="349" customWidth="1"/>
    <col min="11053" max="11264" width="9.140625" style="349"/>
    <col min="11265" max="11265" width="5.85546875" style="349" customWidth="1"/>
    <col min="11266" max="11266" width="28.5703125" style="349" customWidth="1"/>
    <col min="11267" max="11268" width="14.5703125" style="349" customWidth="1"/>
    <col min="11269" max="11269" width="13.140625" style="349" customWidth="1"/>
    <col min="11270" max="11270" width="10.5703125" style="349" customWidth="1"/>
    <col min="11271" max="11271" width="11.5703125" style="349" customWidth="1"/>
    <col min="11272" max="11272" width="12" style="349" customWidth="1"/>
    <col min="11273" max="11273" width="12.140625" style="349" customWidth="1"/>
    <col min="11274" max="11274" width="13.28515625" style="349" customWidth="1"/>
    <col min="11275" max="11275" width="11.140625" style="349" customWidth="1"/>
    <col min="11276" max="11276" width="11.42578125" style="349" customWidth="1"/>
    <col min="11277" max="11278" width="11.85546875" style="349" customWidth="1"/>
    <col min="11279" max="11280" width="12" style="349" customWidth="1"/>
    <col min="11281" max="11281" width="12.28515625" style="349" customWidth="1"/>
    <col min="11282" max="11282" width="11.42578125" style="349" customWidth="1"/>
    <col min="11283" max="11283" width="12.140625" style="349" customWidth="1"/>
    <col min="11284" max="11284" width="11.28515625" style="349" customWidth="1"/>
    <col min="11285" max="11285" width="13" style="349" customWidth="1"/>
    <col min="11286" max="11286" width="13.140625" style="349" customWidth="1"/>
    <col min="11287" max="11287" width="12" style="349" customWidth="1"/>
    <col min="11288" max="11290" width="11.85546875" style="349" customWidth="1"/>
    <col min="11291" max="11293" width="11.5703125" style="349" customWidth="1"/>
    <col min="11294" max="11296" width="12.5703125" style="349" customWidth="1"/>
    <col min="11297" max="11302" width="11.7109375" style="349" customWidth="1"/>
    <col min="11303" max="11305" width="11.85546875" style="349" customWidth="1"/>
    <col min="11306" max="11308" width="11.7109375" style="349" customWidth="1"/>
    <col min="11309" max="11520" width="9.140625" style="349"/>
    <col min="11521" max="11521" width="5.85546875" style="349" customWidth="1"/>
    <col min="11522" max="11522" width="28.5703125" style="349" customWidth="1"/>
    <col min="11523" max="11524" width="14.5703125" style="349" customWidth="1"/>
    <col min="11525" max="11525" width="13.140625" style="349" customWidth="1"/>
    <col min="11526" max="11526" width="10.5703125" style="349" customWidth="1"/>
    <col min="11527" max="11527" width="11.5703125" style="349" customWidth="1"/>
    <col min="11528" max="11528" width="12" style="349" customWidth="1"/>
    <col min="11529" max="11529" width="12.140625" style="349" customWidth="1"/>
    <col min="11530" max="11530" width="13.28515625" style="349" customWidth="1"/>
    <col min="11531" max="11531" width="11.140625" style="349" customWidth="1"/>
    <col min="11532" max="11532" width="11.42578125" style="349" customWidth="1"/>
    <col min="11533" max="11534" width="11.85546875" style="349" customWidth="1"/>
    <col min="11535" max="11536" width="12" style="349" customWidth="1"/>
    <col min="11537" max="11537" width="12.28515625" style="349" customWidth="1"/>
    <col min="11538" max="11538" width="11.42578125" style="349" customWidth="1"/>
    <col min="11539" max="11539" width="12.140625" style="349" customWidth="1"/>
    <col min="11540" max="11540" width="11.28515625" style="349" customWidth="1"/>
    <col min="11541" max="11541" width="13" style="349" customWidth="1"/>
    <col min="11542" max="11542" width="13.140625" style="349" customWidth="1"/>
    <col min="11543" max="11543" width="12" style="349" customWidth="1"/>
    <col min="11544" max="11546" width="11.85546875" style="349" customWidth="1"/>
    <col min="11547" max="11549" width="11.5703125" style="349" customWidth="1"/>
    <col min="11550" max="11552" width="12.5703125" style="349" customWidth="1"/>
    <col min="11553" max="11558" width="11.7109375" style="349" customWidth="1"/>
    <col min="11559" max="11561" width="11.85546875" style="349" customWidth="1"/>
    <col min="11562" max="11564" width="11.7109375" style="349" customWidth="1"/>
    <col min="11565" max="11776" width="9.140625" style="349"/>
    <col min="11777" max="11777" width="5.85546875" style="349" customWidth="1"/>
    <col min="11778" max="11778" width="28.5703125" style="349" customWidth="1"/>
    <col min="11779" max="11780" width="14.5703125" style="349" customWidth="1"/>
    <col min="11781" max="11781" width="13.140625" style="349" customWidth="1"/>
    <col min="11782" max="11782" width="10.5703125" style="349" customWidth="1"/>
    <col min="11783" max="11783" width="11.5703125" style="349" customWidth="1"/>
    <col min="11784" max="11784" width="12" style="349" customWidth="1"/>
    <col min="11785" max="11785" width="12.140625" style="349" customWidth="1"/>
    <col min="11786" max="11786" width="13.28515625" style="349" customWidth="1"/>
    <col min="11787" max="11787" width="11.140625" style="349" customWidth="1"/>
    <col min="11788" max="11788" width="11.42578125" style="349" customWidth="1"/>
    <col min="11789" max="11790" width="11.85546875" style="349" customWidth="1"/>
    <col min="11791" max="11792" width="12" style="349" customWidth="1"/>
    <col min="11793" max="11793" width="12.28515625" style="349" customWidth="1"/>
    <col min="11794" max="11794" width="11.42578125" style="349" customWidth="1"/>
    <col min="11795" max="11795" width="12.140625" style="349" customWidth="1"/>
    <col min="11796" max="11796" width="11.28515625" style="349" customWidth="1"/>
    <col min="11797" max="11797" width="13" style="349" customWidth="1"/>
    <col min="11798" max="11798" width="13.140625" style="349" customWidth="1"/>
    <col min="11799" max="11799" width="12" style="349" customWidth="1"/>
    <col min="11800" max="11802" width="11.85546875" style="349" customWidth="1"/>
    <col min="11803" max="11805" width="11.5703125" style="349" customWidth="1"/>
    <col min="11806" max="11808" width="12.5703125" style="349" customWidth="1"/>
    <col min="11809" max="11814" width="11.7109375" style="349" customWidth="1"/>
    <col min="11815" max="11817" width="11.85546875" style="349" customWidth="1"/>
    <col min="11818" max="11820" width="11.7109375" style="349" customWidth="1"/>
    <col min="11821" max="12032" width="9.140625" style="349"/>
    <col min="12033" max="12033" width="5.85546875" style="349" customWidth="1"/>
    <col min="12034" max="12034" width="28.5703125" style="349" customWidth="1"/>
    <col min="12035" max="12036" width="14.5703125" style="349" customWidth="1"/>
    <col min="12037" max="12037" width="13.140625" style="349" customWidth="1"/>
    <col min="12038" max="12038" width="10.5703125" style="349" customWidth="1"/>
    <col min="12039" max="12039" width="11.5703125" style="349" customWidth="1"/>
    <col min="12040" max="12040" width="12" style="349" customWidth="1"/>
    <col min="12041" max="12041" width="12.140625" style="349" customWidth="1"/>
    <col min="12042" max="12042" width="13.28515625" style="349" customWidth="1"/>
    <col min="12043" max="12043" width="11.140625" style="349" customWidth="1"/>
    <col min="12044" max="12044" width="11.42578125" style="349" customWidth="1"/>
    <col min="12045" max="12046" width="11.85546875" style="349" customWidth="1"/>
    <col min="12047" max="12048" width="12" style="349" customWidth="1"/>
    <col min="12049" max="12049" width="12.28515625" style="349" customWidth="1"/>
    <col min="12050" max="12050" width="11.42578125" style="349" customWidth="1"/>
    <col min="12051" max="12051" width="12.140625" style="349" customWidth="1"/>
    <col min="12052" max="12052" width="11.28515625" style="349" customWidth="1"/>
    <col min="12053" max="12053" width="13" style="349" customWidth="1"/>
    <col min="12054" max="12054" width="13.140625" style="349" customWidth="1"/>
    <col min="12055" max="12055" width="12" style="349" customWidth="1"/>
    <col min="12056" max="12058" width="11.85546875" style="349" customWidth="1"/>
    <col min="12059" max="12061" width="11.5703125" style="349" customWidth="1"/>
    <col min="12062" max="12064" width="12.5703125" style="349" customWidth="1"/>
    <col min="12065" max="12070" width="11.7109375" style="349" customWidth="1"/>
    <col min="12071" max="12073" width="11.85546875" style="349" customWidth="1"/>
    <col min="12074" max="12076" width="11.7109375" style="349" customWidth="1"/>
    <col min="12077" max="12288" width="9.140625" style="349"/>
    <col min="12289" max="12289" width="5.85546875" style="349" customWidth="1"/>
    <col min="12290" max="12290" width="28.5703125" style="349" customWidth="1"/>
    <col min="12291" max="12292" width="14.5703125" style="349" customWidth="1"/>
    <col min="12293" max="12293" width="13.140625" style="349" customWidth="1"/>
    <col min="12294" max="12294" width="10.5703125" style="349" customWidth="1"/>
    <col min="12295" max="12295" width="11.5703125" style="349" customWidth="1"/>
    <col min="12296" max="12296" width="12" style="349" customWidth="1"/>
    <col min="12297" max="12297" width="12.140625" style="349" customWidth="1"/>
    <col min="12298" max="12298" width="13.28515625" style="349" customWidth="1"/>
    <col min="12299" max="12299" width="11.140625" style="349" customWidth="1"/>
    <col min="12300" max="12300" width="11.42578125" style="349" customWidth="1"/>
    <col min="12301" max="12302" width="11.85546875" style="349" customWidth="1"/>
    <col min="12303" max="12304" width="12" style="349" customWidth="1"/>
    <col min="12305" max="12305" width="12.28515625" style="349" customWidth="1"/>
    <col min="12306" max="12306" width="11.42578125" style="349" customWidth="1"/>
    <col min="12307" max="12307" width="12.140625" style="349" customWidth="1"/>
    <col min="12308" max="12308" width="11.28515625" style="349" customWidth="1"/>
    <col min="12309" max="12309" width="13" style="349" customWidth="1"/>
    <col min="12310" max="12310" width="13.140625" style="349" customWidth="1"/>
    <col min="12311" max="12311" width="12" style="349" customWidth="1"/>
    <col min="12312" max="12314" width="11.85546875" style="349" customWidth="1"/>
    <col min="12315" max="12317" width="11.5703125" style="349" customWidth="1"/>
    <col min="12318" max="12320" width="12.5703125" style="349" customWidth="1"/>
    <col min="12321" max="12326" width="11.7109375" style="349" customWidth="1"/>
    <col min="12327" max="12329" width="11.85546875" style="349" customWidth="1"/>
    <col min="12330" max="12332" width="11.7109375" style="349" customWidth="1"/>
    <col min="12333" max="12544" width="9.140625" style="349"/>
    <col min="12545" max="12545" width="5.85546875" style="349" customWidth="1"/>
    <col min="12546" max="12546" width="28.5703125" style="349" customWidth="1"/>
    <col min="12547" max="12548" width="14.5703125" style="349" customWidth="1"/>
    <col min="12549" max="12549" width="13.140625" style="349" customWidth="1"/>
    <col min="12550" max="12550" width="10.5703125" style="349" customWidth="1"/>
    <col min="12551" max="12551" width="11.5703125" style="349" customWidth="1"/>
    <col min="12552" max="12552" width="12" style="349" customWidth="1"/>
    <col min="12553" max="12553" width="12.140625" style="349" customWidth="1"/>
    <col min="12554" max="12554" width="13.28515625" style="349" customWidth="1"/>
    <col min="12555" max="12555" width="11.140625" style="349" customWidth="1"/>
    <col min="12556" max="12556" width="11.42578125" style="349" customWidth="1"/>
    <col min="12557" max="12558" width="11.85546875" style="349" customWidth="1"/>
    <col min="12559" max="12560" width="12" style="349" customWidth="1"/>
    <col min="12561" max="12561" width="12.28515625" style="349" customWidth="1"/>
    <col min="12562" max="12562" width="11.42578125" style="349" customWidth="1"/>
    <col min="12563" max="12563" width="12.140625" style="349" customWidth="1"/>
    <col min="12564" max="12564" width="11.28515625" style="349" customWidth="1"/>
    <col min="12565" max="12565" width="13" style="349" customWidth="1"/>
    <col min="12566" max="12566" width="13.140625" style="349" customWidth="1"/>
    <col min="12567" max="12567" width="12" style="349" customWidth="1"/>
    <col min="12568" max="12570" width="11.85546875" style="349" customWidth="1"/>
    <col min="12571" max="12573" width="11.5703125" style="349" customWidth="1"/>
    <col min="12574" max="12576" width="12.5703125" style="349" customWidth="1"/>
    <col min="12577" max="12582" width="11.7109375" style="349" customWidth="1"/>
    <col min="12583" max="12585" width="11.85546875" style="349" customWidth="1"/>
    <col min="12586" max="12588" width="11.7109375" style="349" customWidth="1"/>
    <col min="12589" max="12800" width="9.140625" style="349"/>
    <col min="12801" max="12801" width="5.85546875" style="349" customWidth="1"/>
    <col min="12802" max="12802" width="28.5703125" style="349" customWidth="1"/>
    <col min="12803" max="12804" width="14.5703125" style="349" customWidth="1"/>
    <col min="12805" max="12805" width="13.140625" style="349" customWidth="1"/>
    <col min="12806" max="12806" width="10.5703125" style="349" customWidth="1"/>
    <col min="12807" max="12807" width="11.5703125" style="349" customWidth="1"/>
    <col min="12808" max="12808" width="12" style="349" customWidth="1"/>
    <col min="12809" max="12809" width="12.140625" style="349" customWidth="1"/>
    <col min="12810" max="12810" width="13.28515625" style="349" customWidth="1"/>
    <col min="12811" max="12811" width="11.140625" style="349" customWidth="1"/>
    <col min="12812" max="12812" width="11.42578125" style="349" customWidth="1"/>
    <col min="12813" max="12814" width="11.85546875" style="349" customWidth="1"/>
    <col min="12815" max="12816" width="12" style="349" customWidth="1"/>
    <col min="12817" max="12817" width="12.28515625" style="349" customWidth="1"/>
    <col min="12818" max="12818" width="11.42578125" style="349" customWidth="1"/>
    <col min="12819" max="12819" width="12.140625" style="349" customWidth="1"/>
    <col min="12820" max="12820" width="11.28515625" style="349" customWidth="1"/>
    <col min="12821" max="12821" width="13" style="349" customWidth="1"/>
    <col min="12822" max="12822" width="13.140625" style="349" customWidth="1"/>
    <col min="12823" max="12823" width="12" style="349" customWidth="1"/>
    <col min="12824" max="12826" width="11.85546875" style="349" customWidth="1"/>
    <col min="12827" max="12829" width="11.5703125" style="349" customWidth="1"/>
    <col min="12830" max="12832" width="12.5703125" style="349" customWidth="1"/>
    <col min="12833" max="12838" width="11.7109375" style="349" customWidth="1"/>
    <col min="12839" max="12841" width="11.85546875" style="349" customWidth="1"/>
    <col min="12842" max="12844" width="11.7109375" style="349" customWidth="1"/>
    <col min="12845" max="13056" width="9.140625" style="349"/>
    <col min="13057" max="13057" width="5.85546875" style="349" customWidth="1"/>
    <col min="13058" max="13058" width="28.5703125" style="349" customWidth="1"/>
    <col min="13059" max="13060" width="14.5703125" style="349" customWidth="1"/>
    <col min="13061" max="13061" width="13.140625" style="349" customWidth="1"/>
    <col min="13062" max="13062" width="10.5703125" style="349" customWidth="1"/>
    <col min="13063" max="13063" width="11.5703125" style="349" customWidth="1"/>
    <col min="13064" max="13064" width="12" style="349" customWidth="1"/>
    <col min="13065" max="13065" width="12.140625" style="349" customWidth="1"/>
    <col min="13066" max="13066" width="13.28515625" style="349" customWidth="1"/>
    <col min="13067" max="13067" width="11.140625" style="349" customWidth="1"/>
    <col min="13068" max="13068" width="11.42578125" style="349" customWidth="1"/>
    <col min="13069" max="13070" width="11.85546875" style="349" customWidth="1"/>
    <col min="13071" max="13072" width="12" style="349" customWidth="1"/>
    <col min="13073" max="13073" width="12.28515625" style="349" customWidth="1"/>
    <col min="13074" max="13074" width="11.42578125" style="349" customWidth="1"/>
    <col min="13075" max="13075" width="12.140625" style="349" customWidth="1"/>
    <col min="13076" max="13076" width="11.28515625" style="349" customWidth="1"/>
    <col min="13077" max="13077" width="13" style="349" customWidth="1"/>
    <col min="13078" max="13078" width="13.140625" style="349" customWidth="1"/>
    <col min="13079" max="13079" width="12" style="349" customWidth="1"/>
    <col min="13080" max="13082" width="11.85546875" style="349" customWidth="1"/>
    <col min="13083" max="13085" width="11.5703125" style="349" customWidth="1"/>
    <col min="13086" max="13088" width="12.5703125" style="349" customWidth="1"/>
    <col min="13089" max="13094" width="11.7109375" style="349" customWidth="1"/>
    <col min="13095" max="13097" width="11.85546875" style="349" customWidth="1"/>
    <col min="13098" max="13100" width="11.7109375" style="349" customWidth="1"/>
    <col min="13101" max="13312" width="9.140625" style="349"/>
    <col min="13313" max="13313" width="5.85546875" style="349" customWidth="1"/>
    <col min="13314" max="13314" width="28.5703125" style="349" customWidth="1"/>
    <col min="13315" max="13316" width="14.5703125" style="349" customWidth="1"/>
    <col min="13317" max="13317" width="13.140625" style="349" customWidth="1"/>
    <col min="13318" max="13318" width="10.5703125" style="349" customWidth="1"/>
    <col min="13319" max="13319" width="11.5703125" style="349" customWidth="1"/>
    <col min="13320" max="13320" width="12" style="349" customWidth="1"/>
    <col min="13321" max="13321" width="12.140625" style="349" customWidth="1"/>
    <col min="13322" max="13322" width="13.28515625" style="349" customWidth="1"/>
    <col min="13323" max="13323" width="11.140625" style="349" customWidth="1"/>
    <col min="13324" max="13324" width="11.42578125" style="349" customWidth="1"/>
    <col min="13325" max="13326" width="11.85546875" style="349" customWidth="1"/>
    <col min="13327" max="13328" width="12" style="349" customWidth="1"/>
    <col min="13329" max="13329" width="12.28515625" style="349" customWidth="1"/>
    <col min="13330" max="13330" width="11.42578125" style="349" customWidth="1"/>
    <col min="13331" max="13331" width="12.140625" style="349" customWidth="1"/>
    <col min="13332" max="13332" width="11.28515625" style="349" customWidth="1"/>
    <col min="13333" max="13333" width="13" style="349" customWidth="1"/>
    <col min="13334" max="13334" width="13.140625" style="349" customWidth="1"/>
    <col min="13335" max="13335" width="12" style="349" customWidth="1"/>
    <col min="13336" max="13338" width="11.85546875" style="349" customWidth="1"/>
    <col min="13339" max="13341" width="11.5703125" style="349" customWidth="1"/>
    <col min="13342" max="13344" width="12.5703125" style="349" customWidth="1"/>
    <col min="13345" max="13350" width="11.7109375" style="349" customWidth="1"/>
    <col min="13351" max="13353" width="11.85546875" style="349" customWidth="1"/>
    <col min="13354" max="13356" width="11.7109375" style="349" customWidth="1"/>
    <col min="13357" max="13568" width="9.140625" style="349"/>
    <col min="13569" max="13569" width="5.85546875" style="349" customWidth="1"/>
    <col min="13570" max="13570" width="28.5703125" style="349" customWidth="1"/>
    <col min="13571" max="13572" width="14.5703125" style="349" customWidth="1"/>
    <col min="13573" max="13573" width="13.140625" style="349" customWidth="1"/>
    <col min="13574" max="13574" width="10.5703125" style="349" customWidth="1"/>
    <col min="13575" max="13575" width="11.5703125" style="349" customWidth="1"/>
    <col min="13576" max="13576" width="12" style="349" customWidth="1"/>
    <col min="13577" max="13577" width="12.140625" style="349" customWidth="1"/>
    <col min="13578" max="13578" width="13.28515625" style="349" customWidth="1"/>
    <col min="13579" max="13579" width="11.140625" style="349" customWidth="1"/>
    <col min="13580" max="13580" width="11.42578125" style="349" customWidth="1"/>
    <col min="13581" max="13582" width="11.85546875" style="349" customWidth="1"/>
    <col min="13583" max="13584" width="12" style="349" customWidth="1"/>
    <col min="13585" max="13585" width="12.28515625" style="349" customWidth="1"/>
    <col min="13586" max="13586" width="11.42578125" style="349" customWidth="1"/>
    <col min="13587" max="13587" width="12.140625" style="349" customWidth="1"/>
    <col min="13588" max="13588" width="11.28515625" style="349" customWidth="1"/>
    <col min="13589" max="13589" width="13" style="349" customWidth="1"/>
    <col min="13590" max="13590" width="13.140625" style="349" customWidth="1"/>
    <col min="13591" max="13591" width="12" style="349" customWidth="1"/>
    <col min="13592" max="13594" width="11.85546875" style="349" customWidth="1"/>
    <col min="13595" max="13597" width="11.5703125" style="349" customWidth="1"/>
    <col min="13598" max="13600" width="12.5703125" style="349" customWidth="1"/>
    <col min="13601" max="13606" width="11.7109375" style="349" customWidth="1"/>
    <col min="13607" max="13609" width="11.85546875" style="349" customWidth="1"/>
    <col min="13610" max="13612" width="11.7109375" style="349" customWidth="1"/>
    <col min="13613" max="13824" width="9.140625" style="349"/>
    <col min="13825" max="13825" width="5.85546875" style="349" customWidth="1"/>
    <col min="13826" max="13826" width="28.5703125" style="349" customWidth="1"/>
    <col min="13827" max="13828" width="14.5703125" style="349" customWidth="1"/>
    <col min="13829" max="13829" width="13.140625" style="349" customWidth="1"/>
    <col min="13830" max="13830" width="10.5703125" style="349" customWidth="1"/>
    <col min="13831" max="13831" width="11.5703125" style="349" customWidth="1"/>
    <col min="13832" max="13832" width="12" style="349" customWidth="1"/>
    <col min="13833" max="13833" width="12.140625" style="349" customWidth="1"/>
    <col min="13834" max="13834" width="13.28515625" style="349" customWidth="1"/>
    <col min="13835" max="13835" width="11.140625" style="349" customWidth="1"/>
    <col min="13836" max="13836" width="11.42578125" style="349" customWidth="1"/>
    <col min="13837" max="13838" width="11.85546875" style="349" customWidth="1"/>
    <col min="13839" max="13840" width="12" style="349" customWidth="1"/>
    <col min="13841" max="13841" width="12.28515625" style="349" customWidth="1"/>
    <col min="13842" max="13842" width="11.42578125" style="349" customWidth="1"/>
    <col min="13843" max="13843" width="12.140625" style="349" customWidth="1"/>
    <col min="13844" max="13844" width="11.28515625" style="349" customWidth="1"/>
    <col min="13845" max="13845" width="13" style="349" customWidth="1"/>
    <col min="13846" max="13846" width="13.140625" style="349" customWidth="1"/>
    <col min="13847" max="13847" width="12" style="349" customWidth="1"/>
    <col min="13848" max="13850" width="11.85546875" style="349" customWidth="1"/>
    <col min="13851" max="13853" width="11.5703125" style="349" customWidth="1"/>
    <col min="13854" max="13856" width="12.5703125" style="349" customWidth="1"/>
    <col min="13857" max="13862" width="11.7109375" style="349" customWidth="1"/>
    <col min="13863" max="13865" width="11.85546875" style="349" customWidth="1"/>
    <col min="13866" max="13868" width="11.7109375" style="349" customWidth="1"/>
    <col min="13869" max="14080" width="9.140625" style="349"/>
    <col min="14081" max="14081" width="5.85546875" style="349" customWidth="1"/>
    <col min="14082" max="14082" width="28.5703125" style="349" customWidth="1"/>
    <col min="14083" max="14084" width="14.5703125" style="349" customWidth="1"/>
    <col min="14085" max="14085" width="13.140625" style="349" customWidth="1"/>
    <col min="14086" max="14086" width="10.5703125" style="349" customWidth="1"/>
    <col min="14087" max="14087" width="11.5703125" style="349" customWidth="1"/>
    <col min="14088" max="14088" width="12" style="349" customWidth="1"/>
    <col min="14089" max="14089" width="12.140625" style="349" customWidth="1"/>
    <col min="14090" max="14090" width="13.28515625" style="349" customWidth="1"/>
    <col min="14091" max="14091" width="11.140625" style="349" customWidth="1"/>
    <col min="14092" max="14092" width="11.42578125" style="349" customWidth="1"/>
    <col min="14093" max="14094" width="11.85546875" style="349" customWidth="1"/>
    <col min="14095" max="14096" width="12" style="349" customWidth="1"/>
    <col min="14097" max="14097" width="12.28515625" style="349" customWidth="1"/>
    <col min="14098" max="14098" width="11.42578125" style="349" customWidth="1"/>
    <col min="14099" max="14099" width="12.140625" style="349" customWidth="1"/>
    <col min="14100" max="14100" width="11.28515625" style="349" customWidth="1"/>
    <col min="14101" max="14101" width="13" style="349" customWidth="1"/>
    <col min="14102" max="14102" width="13.140625" style="349" customWidth="1"/>
    <col min="14103" max="14103" width="12" style="349" customWidth="1"/>
    <col min="14104" max="14106" width="11.85546875" style="349" customWidth="1"/>
    <col min="14107" max="14109" width="11.5703125" style="349" customWidth="1"/>
    <col min="14110" max="14112" width="12.5703125" style="349" customWidth="1"/>
    <col min="14113" max="14118" width="11.7109375" style="349" customWidth="1"/>
    <col min="14119" max="14121" width="11.85546875" style="349" customWidth="1"/>
    <col min="14122" max="14124" width="11.7109375" style="349" customWidth="1"/>
    <col min="14125" max="14336" width="9.140625" style="349"/>
    <col min="14337" max="14337" width="5.85546875" style="349" customWidth="1"/>
    <col min="14338" max="14338" width="28.5703125" style="349" customWidth="1"/>
    <col min="14339" max="14340" width="14.5703125" style="349" customWidth="1"/>
    <col min="14341" max="14341" width="13.140625" style="349" customWidth="1"/>
    <col min="14342" max="14342" width="10.5703125" style="349" customWidth="1"/>
    <col min="14343" max="14343" width="11.5703125" style="349" customWidth="1"/>
    <col min="14344" max="14344" width="12" style="349" customWidth="1"/>
    <col min="14345" max="14345" width="12.140625" style="349" customWidth="1"/>
    <col min="14346" max="14346" width="13.28515625" style="349" customWidth="1"/>
    <col min="14347" max="14347" width="11.140625" style="349" customWidth="1"/>
    <col min="14348" max="14348" width="11.42578125" style="349" customWidth="1"/>
    <col min="14349" max="14350" width="11.85546875" style="349" customWidth="1"/>
    <col min="14351" max="14352" width="12" style="349" customWidth="1"/>
    <col min="14353" max="14353" width="12.28515625" style="349" customWidth="1"/>
    <col min="14354" max="14354" width="11.42578125" style="349" customWidth="1"/>
    <col min="14355" max="14355" width="12.140625" style="349" customWidth="1"/>
    <col min="14356" max="14356" width="11.28515625" style="349" customWidth="1"/>
    <col min="14357" max="14357" width="13" style="349" customWidth="1"/>
    <col min="14358" max="14358" width="13.140625" style="349" customWidth="1"/>
    <col min="14359" max="14359" width="12" style="349" customWidth="1"/>
    <col min="14360" max="14362" width="11.85546875" style="349" customWidth="1"/>
    <col min="14363" max="14365" width="11.5703125" style="349" customWidth="1"/>
    <col min="14366" max="14368" width="12.5703125" style="349" customWidth="1"/>
    <col min="14369" max="14374" width="11.7109375" style="349" customWidth="1"/>
    <col min="14375" max="14377" width="11.85546875" style="349" customWidth="1"/>
    <col min="14378" max="14380" width="11.7109375" style="349" customWidth="1"/>
    <col min="14381" max="14592" width="9.140625" style="349"/>
    <col min="14593" max="14593" width="5.85546875" style="349" customWidth="1"/>
    <col min="14594" max="14594" width="28.5703125" style="349" customWidth="1"/>
    <col min="14595" max="14596" width="14.5703125" style="349" customWidth="1"/>
    <col min="14597" max="14597" width="13.140625" style="349" customWidth="1"/>
    <col min="14598" max="14598" width="10.5703125" style="349" customWidth="1"/>
    <col min="14599" max="14599" width="11.5703125" style="349" customWidth="1"/>
    <col min="14600" max="14600" width="12" style="349" customWidth="1"/>
    <col min="14601" max="14601" width="12.140625" style="349" customWidth="1"/>
    <col min="14602" max="14602" width="13.28515625" style="349" customWidth="1"/>
    <col min="14603" max="14603" width="11.140625" style="349" customWidth="1"/>
    <col min="14604" max="14604" width="11.42578125" style="349" customWidth="1"/>
    <col min="14605" max="14606" width="11.85546875" style="349" customWidth="1"/>
    <col min="14607" max="14608" width="12" style="349" customWidth="1"/>
    <col min="14609" max="14609" width="12.28515625" style="349" customWidth="1"/>
    <col min="14610" max="14610" width="11.42578125" style="349" customWidth="1"/>
    <col min="14611" max="14611" width="12.140625" style="349" customWidth="1"/>
    <col min="14612" max="14612" width="11.28515625" style="349" customWidth="1"/>
    <col min="14613" max="14613" width="13" style="349" customWidth="1"/>
    <col min="14614" max="14614" width="13.140625" style="349" customWidth="1"/>
    <col min="14615" max="14615" width="12" style="349" customWidth="1"/>
    <col min="14616" max="14618" width="11.85546875" style="349" customWidth="1"/>
    <col min="14619" max="14621" width="11.5703125" style="349" customWidth="1"/>
    <col min="14622" max="14624" width="12.5703125" style="349" customWidth="1"/>
    <col min="14625" max="14630" width="11.7109375" style="349" customWidth="1"/>
    <col min="14631" max="14633" width="11.85546875" style="349" customWidth="1"/>
    <col min="14634" max="14636" width="11.7109375" style="349" customWidth="1"/>
    <col min="14637" max="14848" width="9.140625" style="349"/>
    <col min="14849" max="14849" width="5.85546875" style="349" customWidth="1"/>
    <col min="14850" max="14850" width="28.5703125" style="349" customWidth="1"/>
    <col min="14851" max="14852" width="14.5703125" style="349" customWidth="1"/>
    <col min="14853" max="14853" width="13.140625" style="349" customWidth="1"/>
    <col min="14854" max="14854" width="10.5703125" style="349" customWidth="1"/>
    <col min="14855" max="14855" width="11.5703125" style="349" customWidth="1"/>
    <col min="14856" max="14856" width="12" style="349" customWidth="1"/>
    <col min="14857" max="14857" width="12.140625" style="349" customWidth="1"/>
    <col min="14858" max="14858" width="13.28515625" style="349" customWidth="1"/>
    <col min="14859" max="14859" width="11.140625" style="349" customWidth="1"/>
    <col min="14860" max="14860" width="11.42578125" style="349" customWidth="1"/>
    <col min="14861" max="14862" width="11.85546875" style="349" customWidth="1"/>
    <col min="14863" max="14864" width="12" style="349" customWidth="1"/>
    <col min="14865" max="14865" width="12.28515625" style="349" customWidth="1"/>
    <col min="14866" max="14866" width="11.42578125" style="349" customWidth="1"/>
    <col min="14867" max="14867" width="12.140625" style="349" customWidth="1"/>
    <col min="14868" max="14868" width="11.28515625" style="349" customWidth="1"/>
    <col min="14869" max="14869" width="13" style="349" customWidth="1"/>
    <col min="14870" max="14870" width="13.140625" style="349" customWidth="1"/>
    <col min="14871" max="14871" width="12" style="349" customWidth="1"/>
    <col min="14872" max="14874" width="11.85546875" style="349" customWidth="1"/>
    <col min="14875" max="14877" width="11.5703125" style="349" customWidth="1"/>
    <col min="14878" max="14880" width="12.5703125" style="349" customWidth="1"/>
    <col min="14881" max="14886" width="11.7109375" style="349" customWidth="1"/>
    <col min="14887" max="14889" width="11.85546875" style="349" customWidth="1"/>
    <col min="14890" max="14892" width="11.7109375" style="349" customWidth="1"/>
    <col min="14893" max="15104" width="9.140625" style="349"/>
    <col min="15105" max="15105" width="5.85546875" style="349" customWidth="1"/>
    <col min="15106" max="15106" width="28.5703125" style="349" customWidth="1"/>
    <col min="15107" max="15108" width="14.5703125" style="349" customWidth="1"/>
    <col min="15109" max="15109" width="13.140625" style="349" customWidth="1"/>
    <col min="15110" max="15110" width="10.5703125" style="349" customWidth="1"/>
    <col min="15111" max="15111" width="11.5703125" style="349" customWidth="1"/>
    <col min="15112" max="15112" width="12" style="349" customWidth="1"/>
    <col min="15113" max="15113" width="12.140625" style="349" customWidth="1"/>
    <col min="15114" max="15114" width="13.28515625" style="349" customWidth="1"/>
    <col min="15115" max="15115" width="11.140625" style="349" customWidth="1"/>
    <col min="15116" max="15116" width="11.42578125" style="349" customWidth="1"/>
    <col min="15117" max="15118" width="11.85546875" style="349" customWidth="1"/>
    <col min="15119" max="15120" width="12" style="349" customWidth="1"/>
    <col min="15121" max="15121" width="12.28515625" style="349" customWidth="1"/>
    <col min="15122" max="15122" width="11.42578125" style="349" customWidth="1"/>
    <col min="15123" max="15123" width="12.140625" style="349" customWidth="1"/>
    <col min="15124" max="15124" width="11.28515625" style="349" customWidth="1"/>
    <col min="15125" max="15125" width="13" style="349" customWidth="1"/>
    <col min="15126" max="15126" width="13.140625" style="349" customWidth="1"/>
    <col min="15127" max="15127" width="12" style="349" customWidth="1"/>
    <col min="15128" max="15130" width="11.85546875" style="349" customWidth="1"/>
    <col min="15131" max="15133" width="11.5703125" style="349" customWidth="1"/>
    <col min="15134" max="15136" width="12.5703125" style="349" customWidth="1"/>
    <col min="15137" max="15142" width="11.7109375" style="349" customWidth="1"/>
    <col min="15143" max="15145" width="11.85546875" style="349" customWidth="1"/>
    <col min="15146" max="15148" width="11.7109375" style="349" customWidth="1"/>
    <col min="15149" max="15360" width="9.140625" style="349"/>
    <col min="15361" max="15361" width="5.85546875" style="349" customWidth="1"/>
    <col min="15362" max="15362" width="28.5703125" style="349" customWidth="1"/>
    <col min="15363" max="15364" width="14.5703125" style="349" customWidth="1"/>
    <col min="15365" max="15365" width="13.140625" style="349" customWidth="1"/>
    <col min="15366" max="15366" width="10.5703125" style="349" customWidth="1"/>
    <col min="15367" max="15367" width="11.5703125" style="349" customWidth="1"/>
    <col min="15368" max="15368" width="12" style="349" customWidth="1"/>
    <col min="15369" max="15369" width="12.140625" style="349" customWidth="1"/>
    <col min="15370" max="15370" width="13.28515625" style="349" customWidth="1"/>
    <col min="15371" max="15371" width="11.140625" style="349" customWidth="1"/>
    <col min="15372" max="15372" width="11.42578125" style="349" customWidth="1"/>
    <col min="15373" max="15374" width="11.85546875" style="349" customWidth="1"/>
    <col min="15375" max="15376" width="12" style="349" customWidth="1"/>
    <col min="15377" max="15377" width="12.28515625" style="349" customWidth="1"/>
    <col min="15378" max="15378" width="11.42578125" style="349" customWidth="1"/>
    <col min="15379" max="15379" width="12.140625" style="349" customWidth="1"/>
    <col min="15380" max="15380" width="11.28515625" style="349" customWidth="1"/>
    <col min="15381" max="15381" width="13" style="349" customWidth="1"/>
    <col min="15382" max="15382" width="13.140625" style="349" customWidth="1"/>
    <col min="15383" max="15383" width="12" style="349" customWidth="1"/>
    <col min="15384" max="15386" width="11.85546875" style="349" customWidth="1"/>
    <col min="15387" max="15389" width="11.5703125" style="349" customWidth="1"/>
    <col min="15390" max="15392" width="12.5703125" style="349" customWidth="1"/>
    <col min="15393" max="15398" width="11.7109375" style="349" customWidth="1"/>
    <col min="15399" max="15401" width="11.85546875" style="349" customWidth="1"/>
    <col min="15402" max="15404" width="11.7109375" style="349" customWidth="1"/>
    <col min="15405" max="15616" width="9.140625" style="349"/>
    <col min="15617" max="15617" width="5.85546875" style="349" customWidth="1"/>
    <col min="15618" max="15618" width="28.5703125" style="349" customWidth="1"/>
    <col min="15619" max="15620" width="14.5703125" style="349" customWidth="1"/>
    <col min="15621" max="15621" width="13.140625" style="349" customWidth="1"/>
    <col min="15622" max="15622" width="10.5703125" style="349" customWidth="1"/>
    <col min="15623" max="15623" width="11.5703125" style="349" customWidth="1"/>
    <col min="15624" max="15624" width="12" style="349" customWidth="1"/>
    <col min="15625" max="15625" width="12.140625" style="349" customWidth="1"/>
    <col min="15626" max="15626" width="13.28515625" style="349" customWidth="1"/>
    <col min="15627" max="15627" width="11.140625" style="349" customWidth="1"/>
    <col min="15628" max="15628" width="11.42578125" style="349" customWidth="1"/>
    <col min="15629" max="15630" width="11.85546875" style="349" customWidth="1"/>
    <col min="15631" max="15632" width="12" style="349" customWidth="1"/>
    <col min="15633" max="15633" width="12.28515625" style="349" customWidth="1"/>
    <col min="15634" max="15634" width="11.42578125" style="349" customWidth="1"/>
    <col min="15635" max="15635" width="12.140625" style="349" customWidth="1"/>
    <col min="15636" max="15636" width="11.28515625" style="349" customWidth="1"/>
    <col min="15637" max="15637" width="13" style="349" customWidth="1"/>
    <col min="15638" max="15638" width="13.140625" style="349" customWidth="1"/>
    <col min="15639" max="15639" width="12" style="349" customWidth="1"/>
    <col min="15640" max="15642" width="11.85546875" style="349" customWidth="1"/>
    <col min="15643" max="15645" width="11.5703125" style="349" customWidth="1"/>
    <col min="15646" max="15648" width="12.5703125" style="349" customWidth="1"/>
    <col min="15649" max="15654" width="11.7109375" style="349" customWidth="1"/>
    <col min="15655" max="15657" width="11.85546875" style="349" customWidth="1"/>
    <col min="15658" max="15660" width="11.7109375" style="349" customWidth="1"/>
    <col min="15661" max="15872" width="9.140625" style="349"/>
    <col min="15873" max="15873" width="5.85546875" style="349" customWidth="1"/>
    <col min="15874" max="15874" width="28.5703125" style="349" customWidth="1"/>
    <col min="15875" max="15876" width="14.5703125" style="349" customWidth="1"/>
    <col min="15877" max="15877" width="13.140625" style="349" customWidth="1"/>
    <col min="15878" max="15878" width="10.5703125" style="349" customWidth="1"/>
    <col min="15879" max="15879" width="11.5703125" style="349" customWidth="1"/>
    <col min="15880" max="15880" width="12" style="349" customWidth="1"/>
    <col min="15881" max="15881" width="12.140625" style="349" customWidth="1"/>
    <col min="15882" max="15882" width="13.28515625" style="349" customWidth="1"/>
    <col min="15883" max="15883" width="11.140625" style="349" customWidth="1"/>
    <col min="15884" max="15884" width="11.42578125" style="349" customWidth="1"/>
    <col min="15885" max="15886" width="11.85546875" style="349" customWidth="1"/>
    <col min="15887" max="15888" width="12" style="349" customWidth="1"/>
    <col min="15889" max="15889" width="12.28515625" style="349" customWidth="1"/>
    <col min="15890" max="15890" width="11.42578125" style="349" customWidth="1"/>
    <col min="15891" max="15891" width="12.140625" style="349" customWidth="1"/>
    <col min="15892" max="15892" width="11.28515625" style="349" customWidth="1"/>
    <col min="15893" max="15893" width="13" style="349" customWidth="1"/>
    <col min="15894" max="15894" width="13.140625" style="349" customWidth="1"/>
    <col min="15895" max="15895" width="12" style="349" customWidth="1"/>
    <col min="15896" max="15898" width="11.85546875" style="349" customWidth="1"/>
    <col min="15899" max="15901" width="11.5703125" style="349" customWidth="1"/>
    <col min="15902" max="15904" width="12.5703125" style="349" customWidth="1"/>
    <col min="15905" max="15910" width="11.7109375" style="349" customWidth="1"/>
    <col min="15911" max="15913" width="11.85546875" style="349" customWidth="1"/>
    <col min="15914" max="15916" width="11.7109375" style="349" customWidth="1"/>
    <col min="15917" max="16128" width="9.140625" style="349"/>
    <col min="16129" max="16129" width="5.85546875" style="349" customWidth="1"/>
    <col min="16130" max="16130" width="28.5703125" style="349" customWidth="1"/>
    <col min="16131" max="16132" width="14.5703125" style="349" customWidth="1"/>
    <col min="16133" max="16133" width="13.140625" style="349" customWidth="1"/>
    <col min="16134" max="16134" width="10.5703125" style="349" customWidth="1"/>
    <col min="16135" max="16135" width="11.5703125" style="349" customWidth="1"/>
    <col min="16136" max="16136" width="12" style="349" customWidth="1"/>
    <col min="16137" max="16137" width="12.140625" style="349" customWidth="1"/>
    <col min="16138" max="16138" width="13.28515625" style="349" customWidth="1"/>
    <col min="16139" max="16139" width="11.140625" style="349" customWidth="1"/>
    <col min="16140" max="16140" width="11.42578125" style="349" customWidth="1"/>
    <col min="16141" max="16142" width="11.85546875" style="349" customWidth="1"/>
    <col min="16143" max="16144" width="12" style="349" customWidth="1"/>
    <col min="16145" max="16145" width="12.28515625" style="349" customWidth="1"/>
    <col min="16146" max="16146" width="11.42578125" style="349" customWidth="1"/>
    <col min="16147" max="16147" width="12.140625" style="349" customWidth="1"/>
    <col min="16148" max="16148" width="11.28515625" style="349" customWidth="1"/>
    <col min="16149" max="16149" width="13" style="349" customWidth="1"/>
    <col min="16150" max="16150" width="13.140625" style="349" customWidth="1"/>
    <col min="16151" max="16151" width="12" style="349" customWidth="1"/>
    <col min="16152" max="16154" width="11.85546875" style="349" customWidth="1"/>
    <col min="16155" max="16157" width="11.5703125" style="349" customWidth="1"/>
    <col min="16158" max="16160" width="12.5703125" style="349" customWidth="1"/>
    <col min="16161" max="16166" width="11.7109375" style="349" customWidth="1"/>
    <col min="16167" max="16169" width="11.85546875" style="349" customWidth="1"/>
    <col min="16170" max="16172" width="11.7109375" style="349" customWidth="1"/>
    <col min="16173" max="16384" width="9.140625" style="349"/>
  </cols>
  <sheetData>
    <row r="1" spans="1:56" ht="21" customHeight="1">
      <c r="A1" s="344"/>
      <c r="B1" s="344"/>
      <c r="C1" s="346"/>
      <c r="D1" s="346"/>
      <c r="E1" s="346"/>
      <c r="F1" s="346"/>
      <c r="G1" s="346"/>
      <c r="H1" s="346"/>
      <c r="I1" s="346"/>
      <c r="J1" s="346"/>
      <c r="K1" s="347"/>
      <c r="L1" s="346"/>
      <c r="M1" s="346"/>
      <c r="N1" s="347"/>
      <c r="O1" s="346"/>
      <c r="P1" s="346"/>
      <c r="Q1" s="348"/>
      <c r="T1" s="348"/>
      <c r="W1" s="348" t="s">
        <v>1025</v>
      </c>
      <c r="Z1" s="348"/>
      <c r="AC1" s="348"/>
      <c r="AF1" s="348"/>
      <c r="AI1" s="348"/>
      <c r="AJ1" s="348"/>
      <c r="AK1" s="348"/>
      <c r="AL1" s="348"/>
      <c r="AO1" s="348"/>
    </row>
    <row r="2" spans="1:56" ht="40.5" customHeight="1">
      <c r="A2" s="1211" t="s">
        <v>1036</v>
      </c>
      <c r="B2" s="1211"/>
      <c r="C2" s="1211"/>
      <c r="D2" s="1211"/>
      <c r="E2" s="1211"/>
      <c r="F2" s="1211"/>
      <c r="G2" s="1211"/>
      <c r="H2" s="1211"/>
      <c r="I2" s="1211"/>
      <c r="J2" s="1211"/>
      <c r="K2" s="1211"/>
      <c r="L2" s="1211"/>
      <c r="M2" s="1211"/>
      <c r="N2" s="1211"/>
      <c r="O2" s="1211"/>
      <c r="P2" s="1211"/>
      <c r="Q2" s="1211"/>
      <c r="R2" s="1211"/>
      <c r="S2" s="1211"/>
      <c r="T2" s="1211"/>
      <c r="U2" s="1211"/>
      <c r="V2" s="1211"/>
      <c r="W2" s="1211"/>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row>
    <row r="3" spans="1:56" ht="18" customHeight="1">
      <c r="A3" s="1148" t="s">
        <v>460</v>
      </c>
      <c r="B3" s="1148"/>
      <c r="C3" s="1148"/>
      <c r="D3" s="1148"/>
      <c r="E3" s="1148"/>
      <c r="F3" s="1148"/>
      <c r="G3" s="1148"/>
      <c r="H3" s="1148"/>
      <c r="I3" s="1148"/>
      <c r="J3" s="1148"/>
      <c r="K3" s="1148"/>
      <c r="L3" s="1148"/>
      <c r="M3" s="1148"/>
      <c r="N3" s="1148"/>
      <c r="O3" s="1148"/>
      <c r="P3" s="1148"/>
      <c r="Q3" s="1148"/>
      <c r="R3" s="1148"/>
      <c r="S3" s="1148"/>
      <c r="T3" s="1148"/>
      <c r="U3" s="1148"/>
      <c r="V3" s="1148"/>
      <c r="W3" s="1148"/>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row>
    <row r="4" spans="1:56" ht="19.5" customHeight="1">
      <c r="A4" s="351"/>
      <c r="B4" s="351"/>
      <c r="C4" s="385"/>
      <c r="D4" s="353"/>
      <c r="E4" s="353"/>
      <c r="F4" s="353"/>
      <c r="G4" s="353"/>
      <c r="H4" s="353"/>
      <c r="I4" s="353"/>
      <c r="J4" s="353"/>
      <c r="L4" s="384"/>
      <c r="M4" s="384"/>
      <c r="N4" s="384"/>
      <c r="O4" s="384"/>
      <c r="P4" s="384"/>
      <c r="Q4" s="384"/>
      <c r="R4" s="384"/>
      <c r="S4" s="384"/>
      <c r="T4" s="384"/>
      <c r="U4" s="384"/>
      <c r="V4" s="384" t="s">
        <v>2</v>
      </c>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row>
    <row r="5" spans="1:56" s="301" customFormat="1" ht="113.25" customHeight="1">
      <c r="A5" s="1214" t="s">
        <v>3</v>
      </c>
      <c r="B5" s="1209" t="s">
        <v>1026</v>
      </c>
      <c r="C5" s="1201" t="s">
        <v>89</v>
      </c>
      <c r="D5" s="1201"/>
      <c r="E5" s="1201"/>
      <c r="F5" s="1070" t="s">
        <v>1027</v>
      </c>
      <c r="G5" s="1070"/>
      <c r="H5" s="1070"/>
      <c r="I5" s="1070" t="s">
        <v>1028</v>
      </c>
      <c r="J5" s="1070"/>
      <c r="K5" s="1070"/>
      <c r="L5" s="1070" t="s">
        <v>1037</v>
      </c>
      <c r="M5" s="1070"/>
      <c r="N5" s="1070"/>
      <c r="O5" s="1202" t="s">
        <v>1038</v>
      </c>
      <c r="P5" s="1202"/>
      <c r="Q5" s="1202"/>
      <c r="R5" s="1070" t="s">
        <v>1039</v>
      </c>
      <c r="S5" s="1070"/>
      <c r="T5" s="1070"/>
      <c r="U5" s="1070" t="s">
        <v>1040</v>
      </c>
      <c r="V5" s="1070"/>
      <c r="W5" s="1070"/>
      <c r="X5" s="1202" t="s">
        <v>1041</v>
      </c>
      <c r="Y5" s="1202"/>
      <c r="Z5" s="1202"/>
      <c r="AA5" s="1220" t="s">
        <v>1042</v>
      </c>
      <c r="AB5" s="1221"/>
      <c r="AC5" s="1222"/>
      <c r="AD5" s="1202" t="s">
        <v>1043</v>
      </c>
      <c r="AE5" s="1202"/>
      <c r="AF5" s="1202"/>
      <c r="AG5" s="1202" t="s">
        <v>1044</v>
      </c>
      <c r="AH5" s="1202"/>
      <c r="AI5" s="1202"/>
      <c r="AJ5" s="1202" t="s">
        <v>1045</v>
      </c>
      <c r="AK5" s="1202"/>
      <c r="AL5" s="1202"/>
      <c r="AM5" s="1202" t="s">
        <v>1029</v>
      </c>
      <c r="AN5" s="1202"/>
      <c r="AO5" s="1202"/>
      <c r="AP5" s="1202" t="s">
        <v>416</v>
      </c>
      <c r="AQ5" s="1202"/>
      <c r="AR5" s="1202"/>
      <c r="AS5" s="1202" t="s">
        <v>428</v>
      </c>
      <c r="AT5" s="1202"/>
      <c r="AU5" s="1202"/>
      <c r="AV5" s="1202" t="s">
        <v>431</v>
      </c>
      <c r="AW5" s="1202"/>
      <c r="AX5" s="1202"/>
      <c r="AY5" s="1202" t="s">
        <v>452</v>
      </c>
      <c r="AZ5" s="1202"/>
      <c r="BA5" s="1202"/>
      <c r="BB5" s="1202" t="s">
        <v>1073</v>
      </c>
      <c r="BC5" s="1202"/>
      <c r="BD5" s="1202"/>
    </row>
    <row r="6" spans="1:56" s="301" customFormat="1" ht="23.25" customHeight="1">
      <c r="A6" s="1215"/>
      <c r="B6" s="1217"/>
      <c r="C6" s="1214" t="s">
        <v>89</v>
      </c>
      <c r="D6" s="1209" t="s">
        <v>384</v>
      </c>
      <c r="E6" s="1209" t="s">
        <v>386</v>
      </c>
      <c r="F6" s="1214" t="s">
        <v>89</v>
      </c>
      <c r="G6" s="1209" t="s">
        <v>384</v>
      </c>
      <c r="H6" s="1209" t="s">
        <v>386</v>
      </c>
      <c r="I6" s="1214" t="s">
        <v>89</v>
      </c>
      <c r="J6" s="1209" t="s">
        <v>384</v>
      </c>
      <c r="K6" s="1209" t="s">
        <v>386</v>
      </c>
      <c r="L6" s="1214" t="s">
        <v>89</v>
      </c>
      <c r="M6" s="1209" t="s">
        <v>384</v>
      </c>
      <c r="N6" s="1209" t="s">
        <v>386</v>
      </c>
      <c r="O6" s="1214" t="s">
        <v>89</v>
      </c>
      <c r="P6" s="1209" t="s">
        <v>384</v>
      </c>
      <c r="Q6" s="1209" t="s">
        <v>386</v>
      </c>
      <c r="R6" s="1214" t="s">
        <v>89</v>
      </c>
      <c r="S6" s="1209" t="s">
        <v>384</v>
      </c>
      <c r="T6" s="1209" t="s">
        <v>386</v>
      </c>
      <c r="U6" s="1214" t="s">
        <v>89</v>
      </c>
      <c r="V6" s="1209" t="s">
        <v>384</v>
      </c>
      <c r="W6" s="1209" t="s">
        <v>386</v>
      </c>
      <c r="X6" s="1214" t="s">
        <v>89</v>
      </c>
      <c r="Y6" s="1209" t="s">
        <v>384</v>
      </c>
      <c r="Z6" s="1209" t="s">
        <v>386</v>
      </c>
      <c r="AA6" s="1214" t="s">
        <v>89</v>
      </c>
      <c r="AB6" s="1209" t="s">
        <v>384</v>
      </c>
      <c r="AC6" s="1209" t="s">
        <v>386</v>
      </c>
      <c r="AD6" s="1214" t="s">
        <v>89</v>
      </c>
      <c r="AE6" s="1209" t="s">
        <v>384</v>
      </c>
      <c r="AF6" s="1209" t="s">
        <v>386</v>
      </c>
      <c r="AG6" s="1214" t="s">
        <v>89</v>
      </c>
      <c r="AH6" s="1209" t="s">
        <v>384</v>
      </c>
      <c r="AI6" s="1209" t="s">
        <v>386</v>
      </c>
      <c r="AJ6" s="1214" t="s">
        <v>89</v>
      </c>
      <c r="AK6" s="1209" t="s">
        <v>384</v>
      </c>
      <c r="AL6" s="1209" t="s">
        <v>386</v>
      </c>
      <c r="AM6" s="1214" t="s">
        <v>89</v>
      </c>
      <c r="AN6" s="1209" t="s">
        <v>384</v>
      </c>
      <c r="AO6" s="1209" t="s">
        <v>386</v>
      </c>
      <c r="AP6" s="1214" t="s">
        <v>89</v>
      </c>
      <c r="AQ6" s="1209" t="s">
        <v>384</v>
      </c>
      <c r="AR6" s="1209" t="s">
        <v>386</v>
      </c>
      <c r="AS6" s="1214" t="s">
        <v>89</v>
      </c>
      <c r="AT6" s="1209" t="s">
        <v>384</v>
      </c>
      <c r="AU6" s="1209" t="s">
        <v>386</v>
      </c>
      <c r="AV6" s="1214" t="s">
        <v>89</v>
      </c>
      <c r="AW6" s="1209" t="s">
        <v>384</v>
      </c>
      <c r="AX6" s="1209" t="s">
        <v>386</v>
      </c>
      <c r="AY6" s="1214" t="s">
        <v>89</v>
      </c>
      <c r="AZ6" s="1209" t="s">
        <v>384</v>
      </c>
      <c r="BA6" s="1209" t="s">
        <v>386</v>
      </c>
      <c r="BB6" s="1214" t="s">
        <v>89</v>
      </c>
      <c r="BC6" s="1209" t="s">
        <v>384</v>
      </c>
      <c r="BD6" s="1209" t="s">
        <v>386</v>
      </c>
    </row>
    <row r="7" spans="1:56" s="301" customFormat="1" ht="23.25" customHeight="1">
      <c r="A7" s="1215"/>
      <c r="B7" s="1217"/>
      <c r="C7" s="1215"/>
      <c r="D7" s="1217"/>
      <c r="E7" s="1217"/>
      <c r="F7" s="1215"/>
      <c r="G7" s="1217"/>
      <c r="H7" s="1217"/>
      <c r="I7" s="1215"/>
      <c r="J7" s="1217"/>
      <c r="K7" s="1217"/>
      <c r="L7" s="1215"/>
      <c r="M7" s="1217"/>
      <c r="N7" s="1217"/>
      <c r="O7" s="1215"/>
      <c r="P7" s="1217"/>
      <c r="Q7" s="1217"/>
      <c r="R7" s="1215"/>
      <c r="S7" s="1217"/>
      <c r="T7" s="1217"/>
      <c r="U7" s="1215"/>
      <c r="V7" s="1217"/>
      <c r="W7" s="1217"/>
      <c r="X7" s="1215"/>
      <c r="Y7" s="1217"/>
      <c r="Z7" s="1217"/>
      <c r="AA7" s="1215"/>
      <c r="AB7" s="1217"/>
      <c r="AC7" s="1217"/>
      <c r="AD7" s="1215"/>
      <c r="AE7" s="1217"/>
      <c r="AF7" s="1217"/>
      <c r="AG7" s="1215"/>
      <c r="AH7" s="1217"/>
      <c r="AI7" s="1217"/>
      <c r="AJ7" s="1215"/>
      <c r="AK7" s="1217"/>
      <c r="AL7" s="1217"/>
      <c r="AM7" s="1215"/>
      <c r="AN7" s="1217"/>
      <c r="AO7" s="1217"/>
      <c r="AP7" s="1215"/>
      <c r="AQ7" s="1217"/>
      <c r="AR7" s="1217"/>
      <c r="AS7" s="1215"/>
      <c r="AT7" s="1217"/>
      <c r="AU7" s="1217"/>
      <c r="AV7" s="1215"/>
      <c r="AW7" s="1217"/>
      <c r="AX7" s="1217"/>
      <c r="AY7" s="1215"/>
      <c r="AZ7" s="1217"/>
      <c r="BA7" s="1217"/>
      <c r="BB7" s="1215"/>
      <c r="BC7" s="1217"/>
      <c r="BD7" s="1217"/>
    </row>
    <row r="8" spans="1:56" s="301" customFormat="1" ht="23.25" customHeight="1">
      <c r="A8" s="1215"/>
      <c r="B8" s="1217"/>
      <c r="C8" s="1216"/>
      <c r="D8" s="1210"/>
      <c r="E8" s="1210"/>
      <c r="F8" s="1216"/>
      <c r="G8" s="1210"/>
      <c r="H8" s="1210"/>
      <c r="I8" s="1216"/>
      <c r="J8" s="1210"/>
      <c r="K8" s="1210"/>
      <c r="L8" s="1216"/>
      <c r="M8" s="1210"/>
      <c r="N8" s="1210"/>
      <c r="O8" s="1216"/>
      <c r="P8" s="1210"/>
      <c r="Q8" s="1210"/>
      <c r="R8" s="1216"/>
      <c r="S8" s="1210"/>
      <c r="T8" s="1210"/>
      <c r="U8" s="1216"/>
      <c r="V8" s="1210"/>
      <c r="W8" s="1210"/>
      <c r="X8" s="1216"/>
      <c r="Y8" s="1210"/>
      <c r="Z8" s="1210"/>
      <c r="AA8" s="1216"/>
      <c r="AB8" s="1210"/>
      <c r="AC8" s="1210"/>
      <c r="AD8" s="1216"/>
      <c r="AE8" s="1210"/>
      <c r="AF8" s="1210"/>
      <c r="AG8" s="1216"/>
      <c r="AH8" s="1210"/>
      <c r="AI8" s="1210"/>
      <c r="AJ8" s="1216"/>
      <c r="AK8" s="1210"/>
      <c r="AL8" s="1210"/>
      <c r="AM8" s="1216"/>
      <c r="AN8" s="1210"/>
      <c r="AO8" s="1210"/>
      <c r="AP8" s="1216"/>
      <c r="AQ8" s="1210"/>
      <c r="AR8" s="1210"/>
      <c r="AS8" s="1216"/>
      <c r="AT8" s="1210"/>
      <c r="AU8" s="1210"/>
      <c r="AV8" s="1216"/>
      <c r="AW8" s="1210"/>
      <c r="AX8" s="1210"/>
      <c r="AY8" s="1216"/>
      <c r="AZ8" s="1210"/>
      <c r="BA8" s="1210"/>
      <c r="BB8" s="1216"/>
      <c r="BC8" s="1210"/>
      <c r="BD8" s="1210"/>
    </row>
    <row r="9" spans="1:56" s="358" customFormat="1" ht="17.25" customHeight="1">
      <c r="A9" s="355" t="s">
        <v>10</v>
      </c>
      <c r="B9" s="355" t="s">
        <v>11</v>
      </c>
      <c r="C9" s="355" t="s">
        <v>350</v>
      </c>
      <c r="D9" s="355">
        <v>2</v>
      </c>
      <c r="E9" s="355">
        <f t="shared" ref="E9:K9" si="0">D9+1</f>
        <v>3</v>
      </c>
      <c r="F9" s="355" t="s">
        <v>783</v>
      </c>
      <c r="G9" s="355">
        <v>5</v>
      </c>
      <c r="H9" s="355">
        <f t="shared" si="0"/>
        <v>6</v>
      </c>
      <c r="I9" s="355" t="s">
        <v>1018</v>
      </c>
      <c r="J9" s="355">
        <v>8</v>
      </c>
      <c r="K9" s="355">
        <f t="shared" si="0"/>
        <v>9</v>
      </c>
      <c r="L9" s="355" t="s">
        <v>1019</v>
      </c>
      <c r="M9" s="355">
        <v>11</v>
      </c>
      <c r="N9" s="355">
        <f>M9+1</f>
        <v>12</v>
      </c>
      <c r="O9" s="355" t="s">
        <v>1020</v>
      </c>
      <c r="P9" s="355">
        <v>14</v>
      </c>
      <c r="Q9" s="355">
        <f>P9+1</f>
        <v>15</v>
      </c>
      <c r="R9" s="355" t="s">
        <v>1021</v>
      </c>
      <c r="S9" s="355">
        <v>17</v>
      </c>
      <c r="T9" s="355">
        <f>S9+1</f>
        <v>18</v>
      </c>
      <c r="U9" s="355" t="s">
        <v>1022</v>
      </c>
      <c r="V9" s="355">
        <v>20</v>
      </c>
      <c r="W9" s="355">
        <f>V9+1</f>
        <v>21</v>
      </c>
      <c r="X9" s="355" t="s">
        <v>1023</v>
      </c>
      <c r="Y9" s="355">
        <v>23</v>
      </c>
      <c r="Z9" s="355">
        <f>Y9+1</f>
        <v>24</v>
      </c>
      <c r="AA9" s="355" t="s">
        <v>1030</v>
      </c>
      <c r="AB9" s="355">
        <v>26</v>
      </c>
      <c r="AC9" s="355">
        <f>AB9+1</f>
        <v>27</v>
      </c>
      <c r="AD9" s="355" t="s">
        <v>1031</v>
      </c>
      <c r="AE9" s="355">
        <v>29</v>
      </c>
      <c r="AF9" s="355">
        <f>AE9+1</f>
        <v>30</v>
      </c>
      <c r="AG9" s="355" t="s">
        <v>1032</v>
      </c>
      <c r="AH9" s="355">
        <v>32</v>
      </c>
      <c r="AI9" s="355">
        <f>AH9+1</f>
        <v>33</v>
      </c>
      <c r="AJ9" s="355" t="s">
        <v>1033</v>
      </c>
      <c r="AK9" s="355">
        <v>35</v>
      </c>
      <c r="AL9" s="355">
        <v>36</v>
      </c>
      <c r="AM9" s="355" t="s">
        <v>1034</v>
      </c>
      <c r="AN9" s="355">
        <v>38</v>
      </c>
      <c r="AO9" s="355">
        <v>39</v>
      </c>
      <c r="AP9" s="355" t="s">
        <v>1035</v>
      </c>
      <c r="AQ9" s="355">
        <v>41</v>
      </c>
      <c r="AR9" s="355">
        <v>42</v>
      </c>
      <c r="AS9" s="355" t="s">
        <v>1046</v>
      </c>
      <c r="AT9" s="355">
        <v>44</v>
      </c>
      <c r="AU9" s="355">
        <v>45</v>
      </c>
      <c r="AV9" s="355" t="s">
        <v>1047</v>
      </c>
      <c r="AW9" s="355">
        <v>47</v>
      </c>
      <c r="AX9" s="355">
        <v>48</v>
      </c>
      <c r="AY9" s="355" t="s">
        <v>1048</v>
      </c>
      <c r="AZ9" s="355">
        <v>50</v>
      </c>
      <c r="BA9" s="355">
        <v>51</v>
      </c>
      <c r="BB9" s="355" t="s">
        <v>1072</v>
      </c>
      <c r="BC9" s="355">
        <v>53</v>
      </c>
      <c r="BD9" s="355">
        <v>54</v>
      </c>
    </row>
    <row r="10" spans="1:56" s="381" customFormat="1" ht="30.75" customHeight="1">
      <c r="A10" s="371"/>
      <c r="B10" s="372" t="s">
        <v>102</v>
      </c>
      <c r="C10" s="373">
        <f>SUM(C11:C20)</f>
        <v>539767</v>
      </c>
      <c r="D10" s="373">
        <f>SUM(D11:D20)</f>
        <v>539767</v>
      </c>
      <c r="E10" s="373">
        <f t="shared" ref="E10:Q10" si="1">SUM(E11:E20)</f>
        <v>0</v>
      </c>
      <c r="F10" s="373">
        <f t="shared" si="1"/>
        <v>100</v>
      </c>
      <c r="G10" s="373">
        <f t="shared" si="1"/>
        <v>100</v>
      </c>
      <c r="H10" s="373">
        <f t="shared" si="1"/>
        <v>0</v>
      </c>
      <c r="I10" s="373">
        <f t="shared" si="1"/>
        <v>6188</v>
      </c>
      <c r="J10" s="373">
        <f t="shared" si="1"/>
        <v>6188</v>
      </c>
      <c r="K10" s="373">
        <f t="shared" si="1"/>
        <v>0</v>
      </c>
      <c r="L10" s="373">
        <f t="shared" si="1"/>
        <v>6000</v>
      </c>
      <c r="M10" s="373">
        <f t="shared" si="1"/>
        <v>6000</v>
      </c>
      <c r="N10" s="373">
        <f t="shared" si="1"/>
        <v>0</v>
      </c>
      <c r="O10" s="373">
        <f t="shared" si="1"/>
        <v>500</v>
      </c>
      <c r="P10" s="373">
        <f t="shared" si="1"/>
        <v>500</v>
      </c>
      <c r="Q10" s="373">
        <f t="shared" si="1"/>
        <v>0</v>
      </c>
      <c r="R10" s="373">
        <f>SUM(R11:R20)</f>
        <v>9506</v>
      </c>
      <c r="S10" s="373">
        <f>SUM(S11:S20)</f>
        <v>9506</v>
      </c>
      <c r="T10" s="373">
        <f>SUM(T11:T20)</f>
        <v>0</v>
      </c>
      <c r="U10" s="373">
        <f t="shared" ref="U10:AR10" si="2">SUM(U11:U20)</f>
        <v>1600</v>
      </c>
      <c r="V10" s="373">
        <f t="shared" si="2"/>
        <v>1600</v>
      </c>
      <c r="W10" s="373">
        <f t="shared" si="2"/>
        <v>0</v>
      </c>
      <c r="X10" s="373">
        <f t="shared" si="2"/>
        <v>204</v>
      </c>
      <c r="Y10" s="373">
        <f t="shared" si="2"/>
        <v>204</v>
      </c>
      <c r="Z10" s="373">
        <f t="shared" si="2"/>
        <v>0</v>
      </c>
      <c r="AA10" s="373">
        <f t="shared" si="2"/>
        <v>10000</v>
      </c>
      <c r="AB10" s="373">
        <f t="shared" si="2"/>
        <v>10000</v>
      </c>
      <c r="AC10" s="373">
        <f t="shared" si="2"/>
        <v>0</v>
      </c>
      <c r="AD10" s="373">
        <f t="shared" si="2"/>
        <v>5000</v>
      </c>
      <c r="AE10" s="373">
        <f t="shared" si="2"/>
        <v>5000</v>
      </c>
      <c r="AF10" s="373">
        <f t="shared" si="2"/>
        <v>0</v>
      </c>
      <c r="AG10" s="373">
        <f t="shared" si="2"/>
        <v>42254</v>
      </c>
      <c r="AH10" s="373">
        <f t="shared" si="2"/>
        <v>42254</v>
      </c>
      <c r="AI10" s="373">
        <f t="shared" si="2"/>
        <v>0</v>
      </c>
      <c r="AJ10" s="373">
        <f>SUM(AJ11:AJ20)</f>
        <v>900</v>
      </c>
      <c r="AK10" s="373">
        <f>SUM(AK11:AK20)</f>
        <v>900</v>
      </c>
      <c r="AL10" s="373">
        <f>SUM(AL11:AL20)</f>
        <v>0</v>
      </c>
      <c r="AM10" s="373">
        <f t="shared" si="2"/>
        <v>1658</v>
      </c>
      <c r="AN10" s="373">
        <f t="shared" si="2"/>
        <v>1658</v>
      </c>
      <c r="AO10" s="373">
        <f t="shared" si="2"/>
        <v>0</v>
      </c>
      <c r="AP10" s="373">
        <f t="shared" si="2"/>
        <v>4274</v>
      </c>
      <c r="AQ10" s="373">
        <f t="shared" si="2"/>
        <v>4274</v>
      </c>
      <c r="AR10" s="373">
        <f t="shared" si="2"/>
        <v>0</v>
      </c>
      <c r="AS10" s="373">
        <f t="shared" ref="AS10:AU10" si="3">SUM(AS11:AS20)</f>
        <v>65795</v>
      </c>
      <c r="AT10" s="373">
        <f t="shared" si="3"/>
        <v>65795</v>
      </c>
      <c r="AU10" s="373">
        <f t="shared" si="3"/>
        <v>0</v>
      </c>
      <c r="AV10" s="373">
        <f t="shared" ref="AV10:AX10" si="4">SUM(AV11:AV20)</f>
        <v>99971</v>
      </c>
      <c r="AW10" s="373">
        <f t="shared" si="4"/>
        <v>99971</v>
      </c>
      <c r="AX10" s="373">
        <f t="shared" si="4"/>
        <v>0</v>
      </c>
      <c r="AY10" s="373">
        <f t="shared" ref="AY10:BA10" si="5">SUM(AY11:AY20)</f>
        <v>8491</v>
      </c>
      <c r="AZ10" s="373">
        <f t="shared" si="5"/>
        <v>8491</v>
      </c>
      <c r="BA10" s="373">
        <f t="shared" si="5"/>
        <v>0</v>
      </c>
      <c r="BB10" s="373">
        <f t="shared" ref="BB10:BD10" si="6">SUM(BB11:BB20)</f>
        <v>277326</v>
      </c>
      <c r="BC10" s="373">
        <f t="shared" si="6"/>
        <v>277326</v>
      </c>
      <c r="BD10" s="373">
        <f t="shared" si="6"/>
        <v>0</v>
      </c>
    </row>
    <row r="11" spans="1:56" s="353" customFormat="1" ht="30.75" customHeight="1">
      <c r="A11" s="375">
        <v>1</v>
      </c>
      <c r="B11" s="376" t="s">
        <v>613</v>
      </c>
      <c r="C11" s="377">
        <f>D11+E11</f>
        <v>83199</v>
      </c>
      <c r="D11" s="377">
        <f>G11+J11+M11+P11+AQ11+S11+V11+AB11+Y11+AE11+AH11+AN11+AK11+AT11+AW11+AZ11+BC11</f>
        <v>83199</v>
      </c>
      <c r="E11" s="377">
        <f>H11+K11+N11+Q11+AR11+T11</f>
        <v>0</v>
      </c>
      <c r="F11" s="377">
        <f>G11+H11</f>
        <v>100</v>
      </c>
      <c r="G11" s="245">
        <v>100</v>
      </c>
      <c r="H11" s="377"/>
      <c r="I11" s="377">
        <f>J11+K11</f>
        <v>556</v>
      </c>
      <c r="J11" s="245">
        <v>556</v>
      </c>
      <c r="K11" s="377"/>
      <c r="L11" s="377">
        <f>M11+N11</f>
        <v>178</v>
      </c>
      <c r="M11" s="245">
        <v>178</v>
      </c>
      <c r="N11" s="377"/>
      <c r="O11" s="377">
        <f>P11+Q11</f>
        <v>0</v>
      </c>
      <c r="P11" s="377"/>
      <c r="Q11" s="377"/>
      <c r="R11" s="377">
        <f>S11+T11</f>
        <v>2243</v>
      </c>
      <c r="S11" s="377">
        <v>2243</v>
      </c>
      <c r="T11" s="377"/>
      <c r="U11" s="377">
        <f>V11+W11</f>
        <v>300</v>
      </c>
      <c r="V11" s="377">
        <v>300</v>
      </c>
      <c r="W11" s="377"/>
      <c r="X11" s="377">
        <f>Y11+Z11</f>
        <v>42</v>
      </c>
      <c r="Y11" s="377">
        <v>42</v>
      </c>
      <c r="Z11" s="377"/>
      <c r="AA11" s="377">
        <f>AB11+AC11</f>
        <v>1500</v>
      </c>
      <c r="AB11" s="377">
        <v>1500</v>
      </c>
      <c r="AC11" s="377"/>
      <c r="AD11" s="377">
        <f>AE11+AF11</f>
        <v>5000</v>
      </c>
      <c r="AE11" s="377">
        <v>5000</v>
      </c>
      <c r="AF11" s="377"/>
      <c r="AG11" s="377">
        <f>AH11+AI11</f>
        <v>9291</v>
      </c>
      <c r="AH11" s="377">
        <v>9291</v>
      </c>
      <c r="AI11" s="377"/>
      <c r="AJ11" s="377">
        <f>AK11+AL11</f>
        <v>900</v>
      </c>
      <c r="AK11" s="377">
        <v>900</v>
      </c>
      <c r="AL11" s="377"/>
      <c r="AM11" s="377">
        <f>AN11+AO11</f>
        <v>308</v>
      </c>
      <c r="AN11" s="377">
        <v>308</v>
      </c>
      <c r="AO11" s="377"/>
      <c r="AP11" s="377">
        <f>AQ11+AR11</f>
        <v>0</v>
      </c>
      <c r="AQ11" s="377"/>
      <c r="AR11" s="377"/>
      <c r="AS11" s="377">
        <f>AT11+AU11</f>
        <v>5412</v>
      </c>
      <c r="AT11" s="377">
        <v>5412</v>
      </c>
      <c r="AU11" s="377"/>
      <c r="AV11" s="377">
        <f>AW11+AX11</f>
        <v>18234</v>
      </c>
      <c r="AW11" s="377">
        <v>18234</v>
      </c>
      <c r="AX11" s="377"/>
      <c r="AY11" s="377">
        <f>AZ11+BA11</f>
        <v>2097</v>
      </c>
      <c r="AZ11" s="377">
        <v>2097</v>
      </c>
      <c r="BA11" s="377"/>
      <c r="BB11" s="377">
        <f>BC11+BD11</f>
        <v>37038</v>
      </c>
      <c r="BC11" s="377">
        <v>37038</v>
      </c>
      <c r="BD11" s="377"/>
    </row>
    <row r="12" spans="1:56" s="353" customFormat="1" ht="30.75" customHeight="1">
      <c r="A12" s="375">
        <f>A11+1</f>
        <v>2</v>
      </c>
      <c r="B12" s="376" t="s">
        <v>612</v>
      </c>
      <c r="C12" s="377">
        <f t="shared" ref="C12:C20" si="7">D12+E12</f>
        <v>54677</v>
      </c>
      <c r="D12" s="377">
        <f t="shared" ref="D12:D20" si="8">G12+J12+M12+P12+AQ12+S12+V12+AB12+Y12+AE12+AH12+AN12+AK12+AT12+AW12+AZ12+BC12</f>
        <v>54677</v>
      </c>
      <c r="E12" s="377">
        <f t="shared" ref="E12:E20" si="9">H12+K12+N12+Q12</f>
        <v>0</v>
      </c>
      <c r="F12" s="377">
        <f t="shared" ref="F12:F20" si="10">G12+H12</f>
        <v>0</v>
      </c>
      <c r="G12" s="377"/>
      <c r="H12" s="377"/>
      <c r="I12" s="377">
        <f t="shared" ref="I12:I20" si="11">J12+K12</f>
        <v>920</v>
      </c>
      <c r="J12" s="245">
        <v>920</v>
      </c>
      <c r="K12" s="377"/>
      <c r="L12" s="377">
        <f t="shared" ref="L12:L20" si="12">M12+N12</f>
        <v>449</v>
      </c>
      <c r="M12" s="245">
        <v>449</v>
      </c>
      <c r="N12" s="377"/>
      <c r="O12" s="377">
        <f t="shared" ref="O12:O20" si="13">P12+Q12</f>
        <v>0</v>
      </c>
      <c r="P12" s="377"/>
      <c r="Q12" s="377"/>
      <c r="R12" s="377">
        <f t="shared" ref="R12:R20" si="14">S12+T12</f>
        <v>1045</v>
      </c>
      <c r="S12" s="377">
        <v>1045</v>
      </c>
      <c r="T12" s="377"/>
      <c r="U12" s="377">
        <f t="shared" ref="U12:U20" si="15">V12+W12</f>
        <v>300</v>
      </c>
      <c r="V12" s="377">
        <v>300</v>
      </c>
      <c r="W12" s="377"/>
      <c r="X12" s="377">
        <f t="shared" ref="X12:X20" si="16">Y12+Z12</f>
        <v>22</v>
      </c>
      <c r="Y12" s="377">
        <v>22</v>
      </c>
      <c r="Z12" s="377"/>
      <c r="AA12" s="377">
        <f t="shared" ref="AA12:AA20" si="17">AB12+AC12</f>
        <v>1500</v>
      </c>
      <c r="AB12" s="377">
        <v>1500</v>
      </c>
      <c r="AC12" s="377"/>
      <c r="AD12" s="377">
        <f t="shared" ref="AD12:AD20" si="18">AE12+AF12</f>
        <v>0</v>
      </c>
      <c r="AE12" s="377"/>
      <c r="AF12" s="377"/>
      <c r="AG12" s="377">
        <f t="shared" ref="AG12:AG20" si="19">AH12+AI12</f>
        <v>4704</v>
      </c>
      <c r="AH12" s="377">
        <v>4704</v>
      </c>
      <c r="AI12" s="377"/>
      <c r="AJ12" s="377">
        <f t="shared" ref="AJ12:AJ20" si="20">AK12+AL12</f>
        <v>0</v>
      </c>
      <c r="AK12" s="377"/>
      <c r="AL12" s="377"/>
      <c r="AM12" s="377">
        <f t="shared" ref="AM12:AM20" si="21">AN12+AO12</f>
        <v>150</v>
      </c>
      <c r="AN12" s="377">
        <v>150</v>
      </c>
      <c r="AO12" s="377"/>
      <c r="AP12" s="377">
        <f t="shared" ref="AP12:AP20" si="22">AQ12+AR12</f>
        <v>352</v>
      </c>
      <c r="AQ12" s="377">
        <v>352</v>
      </c>
      <c r="AR12" s="377"/>
      <c r="AS12" s="377">
        <f t="shared" ref="AS12:AS20" si="23">AT12+AU12</f>
        <v>12902</v>
      </c>
      <c r="AT12" s="377">
        <v>12902</v>
      </c>
      <c r="AU12" s="377"/>
      <c r="AV12" s="377">
        <f t="shared" ref="AV12:AV20" si="24">AW12+AX12</f>
        <v>4302</v>
      </c>
      <c r="AW12" s="377">
        <v>4302</v>
      </c>
      <c r="AX12" s="377"/>
      <c r="AY12" s="377">
        <f t="shared" ref="AY12:AY20" si="25">AZ12+BA12</f>
        <v>1477</v>
      </c>
      <c r="AZ12" s="377">
        <v>1477</v>
      </c>
      <c r="BA12" s="377"/>
      <c r="BB12" s="377">
        <f t="shared" ref="BB12:BB20" si="26">BC12+BD12</f>
        <v>26554</v>
      </c>
      <c r="BC12" s="377">
        <v>26554</v>
      </c>
      <c r="BD12" s="377"/>
    </row>
    <row r="13" spans="1:56" s="353" customFormat="1" ht="30.75" customHeight="1">
      <c r="A13" s="375">
        <f t="shared" ref="A13:A20" si="27">A12+1</f>
        <v>3</v>
      </c>
      <c r="B13" s="376" t="s">
        <v>611</v>
      </c>
      <c r="C13" s="377">
        <f t="shared" si="7"/>
        <v>50981</v>
      </c>
      <c r="D13" s="377">
        <f t="shared" si="8"/>
        <v>50981</v>
      </c>
      <c r="E13" s="377">
        <f t="shared" si="9"/>
        <v>0</v>
      </c>
      <c r="F13" s="377">
        <f t="shared" si="10"/>
        <v>0</v>
      </c>
      <c r="G13" s="377"/>
      <c r="H13" s="377"/>
      <c r="I13" s="377">
        <f t="shared" si="11"/>
        <v>502</v>
      </c>
      <c r="J13" s="245">
        <v>502</v>
      </c>
      <c r="K13" s="377"/>
      <c r="L13" s="377">
        <f t="shared" si="12"/>
        <v>544</v>
      </c>
      <c r="M13" s="245">
        <v>544</v>
      </c>
      <c r="N13" s="377"/>
      <c r="O13" s="377">
        <f t="shared" si="13"/>
        <v>0</v>
      </c>
      <c r="P13" s="377"/>
      <c r="Q13" s="377"/>
      <c r="R13" s="377">
        <f t="shared" si="14"/>
        <v>798</v>
      </c>
      <c r="S13" s="377">
        <v>798</v>
      </c>
      <c r="T13" s="377"/>
      <c r="U13" s="377">
        <f t="shared" si="15"/>
        <v>100</v>
      </c>
      <c r="V13" s="377">
        <v>100</v>
      </c>
      <c r="W13" s="377"/>
      <c r="X13" s="377">
        <f t="shared" si="16"/>
        <v>18</v>
      </c>
      <c r="Y13" s="377">
        <v>18</v>
      </c>
      <c r="Z13" s="377"/>
      <c r="AA13" s="377">
        <f t="shared" si="17"/>
        <v>500</v>
      </c>
      <c r="AB13" s="377">
        <v>500</v>
      </c>
      <c r="AC13" s="377"/>
      <c r="AD13" s="377">
        <f t="shared" si="18"/>
        <v>0</v>
      </c>
      <c r="AE13" s="377"/>
      <c r="AF13" s="377"/>
      <c r="AG13" s="377">
        <f t="shared" si="19"/>
        <v>3392</v>
      </c>
      <c r="AH13" s="377">
        <v>3392</v>
      </c>
      <c r="AI13" s="377"/>
      <c r="AJ13" s="377">
        <f t="shared" si="20"/>
        <v>0</v>
      </c>
      <c r="AK13" s="377"/>
      <c r="AL13" s="377"/>
      <c r="AM13" s="377">
        <f t="shared" si="21"/>
        <v>150</v>
      </c>
      <c r="AN13" s="377">
        <v>150</v>
      </c>
      <c r="AO13" s="377"/>
      <c r="AP13" s="377">
        <f t="shared" si="22"/>
        <v>0</v>
      </c>
      <c r="AQ13" s="377"/>
      <c r="AR13" s="377"/>
      <c r="AS13" s="377">
        <f t="shared" si="23"/>
        <v>13154</v>
      </c>
      <c r="AT13" s="377">
        <v>13154</v>
      </c>
      <c r="AU13" s="377"/>
      <c r="AV13" s="377">
        <f t="shared" si="24"/>
        <v>5884</v>
      </c>
      <c r="AW13" s="377">
        <v>5884</v>
      </c>
      <c r="AX13" s="377"/>
      <c r="AY13" s="377">
        <f t="shared" si="25"/>
        <v>971</v>
      </c>
      <c r="AZ13" s="377">
        <v>971</v>
      </c>
      <c r="BA13" s="377"/>
      <c r="BB13" s="377">
        <f t="shared" si="26"/>
        <v>24968</v>
      </c>
      <c r="BC13" s="377">
        <v>24968</v>
      </c>
      <c r="BD13" s="377"/>
    </row>
    <row r="14" spans="1:56" s="353" customFormat="1" ht="30.75" customHeight="1">
      <c r="A14" s="375">
        <f t="shared" si="27"/>
        <v>4</v>
      </c>
      <c r="B14" s="376" t="s">
        <v>610</v>
      </c>
      <c r="C14" s="377">
        <f t="shared" si="7"/>
        <v>48252</v>
      </c>
      <c r="D14" s="377">
        <f t="shared" si="8"/>
        <v>48252</v>
      </c>
      <c r="E14" s="377">
        <f t="shared" si="9"/>
        <v>0</v>
      </c>
      <c r="F14" s="377">
        <f t="shared" si="10"/>
        <v>0</v>
      </c>
      <c r="G14" s="377"/>
      <c r="H14" s="377"/>
      <c r="I14" s="377">
        <f t="shared" si="11"/>
        <v>421</v>
      </c>
      <c r="J14" s="245">
        <v>421</v>
      </c>
      <c r="K14" s="377"/>
      <c r="L14" s="377">
        <f t="shared" si="12"/>
        <v>278</v>
      </c>
      <c r="M14" s="245">
        <v>278</v>
      </c>
      <c r="N14" s="377"/>
      <c r="O14" s="377">
        <f t="shared" si="13"/>
        <v>0</v>
      </c>
      <c r="P14" s="377"/>
      <c r="Q14" s="377"/>
      <c r="R14" s="377">
        <f t="shared" si="14"/>
        <v>687</v>
      </c>
      <c r="S14" s="377">
        <v>687</v>
      </c>
      <c r="T14" s="377"/>
      <c r="U14" s="377">
        <f t="shared" si="15"/>
        <v>100</v>
      </c>
      <c r="V14" s="377">
        <v>100</v>
      </c>
      <c r="W14" s="377"/>
      <c r="X14" s="377">
        <f t="shared" si="16"/>
        <v>16</v>
      </c>
      <c r="Y14" s="377">
        <v>16</v>
      </c>
      <c r="Z14" s="377"/>
      <c r="AA14" s="377">
        <f t="shared" si="17"/>
        <v>500</v>
      </c>
      <c r="AB14" s="377">
        <v>500</v>
      </c>
      <c r="AC14" s="377"/>
      <c r="AD14" s="377">
        <f t="shared" si="18"/>
        <v>0</v>
      </c>
      <c r="AE14" s="377"/>
      <c r="AF14" s="377"/>
      <c r="AG14" s="377">
        <f t="shared" si="19"/>
        <v>3899</v>
      </c>
      <c r="AH14" s="377">
        <v>3899</v>
      </c>
      <c r="AI14" s="377"/>
      <c r="AJ14" s="377">
        <f t="shared" si="20"/>
        <v>0</v>
      </c>
      <c r="AK14" s="377"/>
      <c r="AL14" s="377"/>
      <c r="AM14" s="377">
        <f t="shared" si="21"/>
        <v>150</v>
      </c>
      <c r="AN14" s="377">
        <v>150</v>
      </c>
      <c r="AO14" s="377"/>
      <c r="AP14" s="377">
        <f t="shared" si="22"/>
        <v>0</v>
      </c>
      <c r="AQ14" s="377"/>
      <c r="AR14" s="377"/>
      <c r="AS14" s="377">
        <f t="shared" si="23"/>
        <v>8496</v>
      </c>
      <c r="AT14" s="377">
        <v>8496</v>
      </c>
      <c r="AU14" s="377"/>
      <c r="AV14" s="377">
        <f t="shared" si="24"/>
        <v>12040</v>
      </c>
      <c r="AW14" s="377">
        <v>12040</v>
      </c>
      <c r="AX14" s="377"/>
      <c r="AY14" s="377">
        <f t="shared" si="25"/>
        <v>47</v>
      </c>
      <c r="AZ14" s="377">
        <v>47</v>
      </c>
      <c r="BA14" s="377"/>
      <c r="BB14" s="377">
        <f t="shared" si="26"/>
        <v>21618</v>
      </c>
      <c r="BC14" s="377">
        <v>21618</v>
      </c>
      <c r="BD14" s="377"/>
    </row>
    <row r="15" spans="1:56" s="353" customFormat="1" ht="30.75" customHeight="1">
      <c r="A15" s="375">
        <f t="shared" si="27"/>
        <v>5</v>
      </c>
      <c r="B15" s="376" t="s">
        <v>609</v>
      </c>
      <c r="C15" s="377">
        <f t="shared" si="7"/>
        <v>72145</v>
      </c>
      <c r="D15" s="377">
        <f t="shared" si="8"/>
        <v>72145</v>
      </c>
      <c r="E15" s="377">
        <f t="shared" si="9"/>
        <v>0</v>
      </c>
      <c r="F15" s="377">
        <f t="shared" si="10"/>
        <v>0</v>
      </c>
      <c r="G15" s="377"/>
      <c r="H15" s="377"/>
      <c r="I15" s="377">
        <f t="shared" si="11"/>
        <v>609</v>
      </c>
      <c r="J15" s="245">
        <v>609</v>
      </c>
      <c r="K15" s="377"/>
      <c r="L15" s="377">
        <f t="shared" si="12"/>
        <v>1016</v>
      </c>
      <c r="M15" s="245">
        <f>1017-1</f>
        <v>1016</v>
      </c>
      <c r="N15" s="377"/>
      <c r="O15" s="377">
        <f t="shared" si="13"/>
        <v>500</v>
      </c>
      <c r="P15" s="377">
        <v>500</v>
      </c>
      <c r="Q15" s="377"/>
      <c r="R15" s="377">
        <f t="shared" si="14"/>
        <v>1062</v>
      </c>
      <c r="S15" s="377">
        <v>1062</v>
      </c>
      <c r="T15" s="377"/>
      <c r="U15" s="377">
        <f t="shared" si="15"/>
        <v>100</v>
      </c>
      <c r="V15" s="377">
        <v>100</v>
      </c>
      <c r="W15" s="377"/>
      <c r="X15" s="377">
        <f t="shared" si="16"/>
        <v>24</v>
      </c>
      <c r="Y15" s="377">
        <v>24</v>
      </c>
      <c r="Z15" s="377"/>
      <c r="AA15" s="377">
        <f t="shared" si="17"/>
        <v>1000</v>
      </c>
      <c r="AB15" s="377">
        <v>1000</v>
      </c>
      <c r="AC15" s="377"/>
      <c r="AD15" s="377">
        <f t="shared" si="18"/>
        <v>0</v>
      </c>
      <c r="AE15" s="377"/>
      <c r="AF15" s="377"/>
      <c r="AG15" s="377">
        <f t="shared" si="19"/>
        <v>4986</v>
      </c>
      <c r="AH15" s="377">
        <v>4986</v>
      </c>
      <c r="AI15" s="377"/>
      <c r="AJ15" s="377">
        <f t="shared" si="20"/>
        <v>0</v>
      </c>
      <c r="AK15" s="377"/>
      <c r="AL15" s="377"/>
      <c r="AM15" s="377">
        <f t="shared" si="21"/>
        <v>150</v>
      </c>
      <c r="AN15" s="377">
        <v>150</v>
      </c>
      <c r="AO15" s="377"/>
      <c r="AP15" s="377">
        <f t="shared" si="22"/>
        <v>0</v>
      </c>
      <c r="AQ15" s="377"/>
      <c r="AR15" s="377"/>
      <c r="AS15" s="377">
        <f t="shared" si="23"/>
        <v>6798</v>
      </c>
      <c r="AT15" s="377">
        <v>6798</v>
      </c>
      <c r="AU15" s="377"/>
      <c r="AV15" s="377">
        <f t="shared" si="24"/>
        <v>14068</v>
      </c>
      <c r="AW15" s="377">
        <v>14068</v>
      </c>
      <c r="AX15" s="377"/>
      <c r="AY15" s="377">
        <f t="shared" si="25"/>
        <v>525</v>
      </c>
      <c r="AZ15" s="377">
        <v>525</v>
      </c>
      <c r="BA15" s="377"/>
      <c r="BB15" s="377">
        <f t="shared" si="26"/>
        <v>41307</v>
      </c>
      <c r="BC15" s="377">
        <v>41307</v>
      </c>
      <c r="BD15" s="377"/>
    </row>
    <row r="16" spans="1:56" s="353" customFormat="1" ht="30.75" customHeight="1">
      <c r="A16" s="375">
        <f t="shared" si="27"/>
        <v>6</v>
      </c>
      <c r="B16" s="376" t="s">
        <v>608</v>
      </c>
      <c r="C16" s="377">
        <f t="shared" si="7"/>
        <v>49859</v>
      </c>
      <c r="D16" s="377">
        <f t="shared" si="8"/>
        <v>49859</v>
      </c>
      <c r="E16" s="377">
        <f t="shared" si="9"/>
        <v>0</v>
      </c>
      <c r="F16" s="377">
        <f t="shared" si="10"/>
        <v>0</v>
      </c>
      <c r="G16" s="377"/>
      <c r="H16" s="377"/>
      <c r="I16" s="377">
        <f t="shared" si="11"/>
        <v>980</v>
      </c>
      <c r="J16" s="245">
        <v>980</v>
      </c>
      <c r="K16" s="377"/>
      <c r="L16" s="377">
        <f t="shared" si="12"/>
        <v>716</v>
      </c>
      <c r="M16" s="245">
        <v>716</v>
      </c>
      <c r="N16" s="377"/>
      <c r="O16" s="377">
        <f t="shared" si="13"/>
        <v>0</v>
      </c>
      <c r="P16" s="377"/>
      <c r="Q16" s="377"/>
      <c r="R16" s="377">
        <f t="shared" si="14"/>
        <v>695</v>
      </c>
      <c r="S16" s="377">
        <v>695</v>
      </c>
      <c r="T16" s="377"/>
      <c r="U16" s="377">
        <f t="shared" si="15"/>
        <v>100</v>
      </c>
      <c r="V16" s="377">
        <v>100</v>
      </c>
      <c r="W16" s="377"/>
      <c r="X16" s="377">
        <f t="shared" si="16"/>
        <v>22</v>
      </c>
      <c r="Y16" s="377">
        <v>22</v>
      </c>
      <c r="Z16" s="377"/>
      <c r="AA16" s="377">
        <f t="shared" si="17"/>
        <v>500</v>
      </c>
      <c r="AB16" s="377">
        <v>500</v>
      </c>
      <c r="AC16" s="377"/>
      <c r="AD16" s="377">
        <f t="shared" si="18"/>
        <v>0</v>
      </c>
      <c r="AE16" s="377"/>
      <c r="AF16" s="377"/>
      <c r="AG16" s="377">
        <f t="shared" si="19"/>
        <v>3552</v>
      </c>
      <c r="AH16" s="377">
        <v>3552</v>
      </c>
      <c r="AI16" s="377"/>
      <c r="AJ16" s="377">
        <f t="shared" si="20"/>
        <v>0</v>
      </c>
      <c r="AK16" s="377"/>
      <c r="AL16" s="377"/>
      <c r="AM16" s="377">
        <f t="shared" si="21"/>
        <v>150</v>
      </c>
      <c r="AN16" s="377">
        <v>150</v>
      </c>
      <c r="AO16" s="377"/>
      <c r="AP16" s="377">
        <f t="shared" si="22"/>
        <v>0</v>
      </c>
      <c r="AQ16" s="377"/>
      <c r="AR16" s="377"/>
      <c r="AS16" s="377">
        <f t="shared" si="23"/>
        <v>5120</v>
      </c>
      <c r="AT16" s="377">
        <v>5120</v>
      </c>
      <c r="AU16" s="377"/>
      <c r="AV16" s="377">
        <f t="shared" si="24"/>
        <v>8485</v>
      </c>
      <c r="AW16" s="377">
        <v>8485</v>
      </c>
      <c r="AX16" s="377"/>
      <c r="AY16" s="377">
        <f t="shared" si="25"/>
        <v>559</v>
      </c>
      <c r="AZ16" s="377">
        <v>559</v>
      </c>
      <c r="BA16" s="377"/>
      <c r="BB16" s="377">
        <f t="shared" si="26"/>
        <v>28980</v>
      </c>
      <c r="BC16" s="377">
        <v>28980</v>
      </c>
      <c r="BD16" s="377"/>
    </row>
    <row r="17" spans="1:56" s="353" customFormat="1" ht="30.75" customHeight="1">
      <c r="A17" s="375">
        <f t="shared" si="27"/>
        <v>7</v>
      </c>
      <c r="B17" s="376" t="s">
        <v>744</v>
      </c>
      <c r="C17" s="377">
        <f t="shared" si="7"/>
        <v>34116</v>
      </c>
      <c r="D17" s="377">
        <f t="shared" si="8"/>
        <v>34116</v>
      </c>
      <c r="E17" s="377">
        <f t="shared" si="9"/>
        <v>0</v>
      </c>
      <c r="F17" s="377">
        <f t="shared" si="10"/>
        <v>0</v>
      </c>
      <c r="G17" s="377"/>
      <c r="H17" s="377"/>
      <c r="I17" s="377">
        <f t="shared" si="11"/>
        <v>617</v>
      </c>
      <c r="J17" s="245">
        <v>617</v>
      </c>
      <c r="K17" s="377"/>
      <c r="L17" s="377">
        <f t="shared" si="12"/>
        <v>54</v>
      </c>
      <c r="M17" s="245">
        <v>54</v>
      </c>
      <c r="N17" s="377"/>
      <c r="O17" s="377">
        <f t="shared" si="13"/>
        <v>0</v>
      </c>
      <c r="P17" s="377"/>
      <c r="Q17" s="377"/>
      <c r="R17" s="377">
        <f t="shared" si="14"/>
        <v>270</v>
      </c>
      <c r="S17" s="377">
        <v>270</v>
      </c>
      <c r="T17" s="377"/>
      <c r="U17" s="377">
        <f t="shared" si="15"/>
        <v>100</v>
      </c>
      <c r="V17" s="377">
        <v>100</v>
      </c>
      <c r="W17" s="377"/>
      <c r="X17" s="377">
        <f t="shared" si="16"/>
        <v>6</v>
      </c>
      <c r="Y17" s="377">
        <v>6</v>
      </c>
      <c r="Z17" s="377"/>
      <c r="AA17" s="377">
        <f t="shared" si="17"/>
        <v>1000</v>
      </c>
      <c r="AB17" s="377">
        <v>1000</v>
      </c>
      <c r="AC17" s="377"/>
      <c r="AD17" s="377">
        <f t="shared" si="18"/>
        <v>0</v>
      </c>
      <c r="AE17" s="377"/>
      <c r="AF17" s="377"/>
      <c r="AG17" s="377">
        <f t="shared" si="19"/>
        <v>1139</v>
      </c>
      <c r="AH17" s="377">
        <v>1139</v>
      </c>
      <c r="AI17" s="377"/>
      <c r="AJ17" s="377">
        <f t="shared" si="20"/>
        <v>0</v>
      </c>
      <c r="AK17" s="377"/>
      <c r="AL17" s="377"/>
      <c r="AM17" s="377">
        <f t="shared" si="21"/>
        <v>150</v>
      </c>
      <c r="AN17" s="377">
        <v>150</v>
      </c>
      <c r="AO17" s="377"/>
      <c r="AP17" s="377">
        <f t="shared" si="22"/>
        <v>3322</v>
      </c>
      <c r="AQ17" s="377">
        <v>3322</v>
      </c>
      <c r="AR17" s="377"/>
      <c r="AS17" s="377">
        <f t="shared" si="23"/>
        <v>8577</v>
      </c>
      <c r="AT17" s="377">
        <v>8577</v>
      </c>
      <c r="AU17" s="377"/>
      <c r="AV17" s="377">
        <f t="shared" si="24"/>
        <v>6433</v>
      </c>
      <c r="AW17" s="377">
        <v>6433</v>
      </c>
      <c r="AX17" s="377"/>
      <c r="AY17" s="377">
        <f t="shared" si="25"/>
        <v>66</v>
      </c>
      <c r="AZ17" s="377">
        <v>66</v>
      </c>
      <c r="BA17" s="377"/>
      <c r="BB17" s="377">
        <f t="shared" si="26"/>
        <v>12382</v>
      </c>
      <c r="BC17" s="377">
        <v>12382</v>
      </c>
      <c r="BD17" s="377"/>
    </row>
    <row r="18" spans="1:56" s="353" customFormat="1" ht="30.75" customHeight="1">
      <c r="A18" s="375">
        <f>A17+1</f>
        <v>8</v>
      </c>
      <c r="B18" s="376" t="s">
        <v>606</v>
      </c>
      <c r="C18" s="377">
        <f t="shared" si="7"/>
        <v>35804</v>
      </c>
      <c r="D18" s="377">
        <f t="shared" si="8"/>
        <v>35804</v>
      </c>
      <c r="E18" s="377">
        <f t="shared" si="9"/>
        <v>0</v>
      </c>
      <c r="F18" s="377">
        <f t="shared" si="10"/>
        <v>0</v>
      </c>
      <c r="G18" s="377"/>
      <c r="H18" s="377"/>
      <c r="I18" s="377">
        <f t="shared" si="11"/>
        <v>393</v>
      </c>
      <c r="J18" s="245">
        <v>393</v>
      </c>
      <c r="K18" s="377"/>
      <c r="L18" s="377">
        <f t="shared" si="12"/>
        <v>556</v>
      </c>
      <c r="M18" s="245">
        <v>556</v>
      </c>
      <c r="N18" s="377"/>
      <c r="O18" s="377">
        <f t="shared" si="13"/>
        <v>0</v>
      </c>
      <c r="P18" s="377"/>
      <c r="Q18" s="377"/>
      <c r="R18" s="377">
        <f t="shared" si="14"/>
        <v>578</v>
      </c>
      <c r="S18" s="377">
        <v>578</v>
      </c>
      <c r="T18" s="377"/>
      <c r="U18" s="377">
        <f t="shared" si="15"/>
        <v>100</v>
      </c>
      <c r="V18" s="377">
        <v>100</v>
      </c>
      <c r="W18" s="377"/>
      <c r="X18" s="377">
        <f t="shared" si="16"/>
        <v>14</v>
      </c>
      <c r="Y18" s="377">
        <v>14</v>
      </c>
      <c r="Z18" s="377"/>
      <c r="AA18" s="377">
        <f t="shared" si="17"/>
        <v>1000</v>
      </c>
      <c r="AB18" s="377">
        <v>1000</v>
      </c>
      <c r="AC18" s="377"/>
      <c r="AD18" s="377">
        <f t="shared" si="18"/>
        <v>0</v>
      </c>
      <c r="AE18" s="377"/>
      <c r="AF18" s="377"/>
      <c r="AG18" s="377">
        <f t="shared" si="19"/>
        <v>2635</v>
      </c>
      <c r="AH18" s="377">
        <v>2635</v>
      </c>
      <c r="AI18" s="377"/>
      <c r="AJ18" s="377">
        <f t="shared" si="20"/>
        <v>0</v>
      </c>
      <c r="AK18" s="377"/>
      <c r="AL18" s="377"/>
      <c r="AM18" s="377">
        <f t="shared" si="21"/>
        <v>150</v>
      </c>
      <c r="AN18" s="377">
        <v>150</v>
      </c>
      <c r="AO18" s="377"/>
      <c r="AP18" s="377">
        <f t="shared" si="22"/>
        <v>0</v>
      </c>
      <c r="AQ18" s="377"/>
      <c r="AR18" s="377"/>
      <c r="AS18" s="377">
        <f t="shared" si="23"/>
        <v>4033</v>
      </c>
      <c r="AT18" s="377">
        <v>4033</v>
      </c>
      <c r="AU18" s="377"/>
      <c r="AV18" s="377">
        <f t="shared" si="24"/>
        <v>2305</v>
      </c>
      <c r="AW18" s="377">
        <v>2305</v>
      </c>
      <c r="AX18" s="377"/>
      <c r="AY18" s="377">
        <f t="shared" si="25"/>
        <v>560</v>
      </c>
      <c r="AZ18" s="377">
        <v>560</v>
      </c>
      <c r="BA18" s="377"/>
      <c r="BB18" s="377">
        <f t="shared" si="26"/>
        <v>23480</v>
      </c>
      <c r="BC18" s="377">
        <v>23480</v>
      </c>
      <c r="BD18" s="377"/>
    </row>
    <row r="19" spans="1:56" s="353" customFormat="1" ht="30.75" customHeight="1">
      <c r="A19" s="375">
        <f t="shared" si="27"/>
        <v>9</v>
      </c>
      <c r="B19" s="376" t="s">
        <v>682</v>
      </c>
      <c r="C19" s="377">
        <f t="shared" si="7"/>
        <v>49575</v>
      </c>
      <c r="D19" s="377">
        <f t="shared" si="8"/>
        <v>49575</v>
      </c>
      <c r="E19" s="377">
        <f t="shared" si="9"/>
        <v>0</v>
      </c>
      <c r="F19" s="377">
        <f t="shared" si="10"/>
        <v>0</v>
      </c>
      <c r="G19" s="377"/>
      <c r="H19" s="377"/>
      <c r="I19" s="377">
        <f t="shared" si="11"/>
        <v>516</v>
      </c>
      <c r="J19" s="245">
        <v>516</v>
      </c>
      <c r="K19" s="377"/>
      <c r="L19" s="377">
        <f t="shared" si="12"/>
        <v>1054</v>
      </c>
      <c r="M19" s="245">
        <v>1054</v>
      </c>
      <c r="N19" s="377"/>
      <c r="O19" s="377">
        <f t="shared" si="13"/>
        <v>0</v>
      </c>
      <c r="P19" s="377"/>
      <c r="Q19" s="377"/>
      <c r="R19" s="377">
        <f t="shared" si="14"/>
        <v>950</v>
      </c>
      <c r="S19" s="377">
        <v>950</v>
      </c>
      <c r="T19" s="377"/>
      <c r="U19" s="377">
        <f t="shared" si="15"/>
        <v>300</v>
      </c>
      <c r="V19" s="377">
        <v>300</v>
      </c>
      <c r="W19" s="377"/>
      <c r="X19" s="377">
        <f t="shared" si="16"/>
        <v>18</v>
      </c>
      <c r="Y19" s="377">
        <v>18</v>
      </c>
      <c r="Z19" s="377"/>
      <c r="AA19" s="377">
        <f t="shared" si="17"/>
        <v>1500</v>
      </c>
      <c r="AB19" s="377">
        <v>1500</v>
      </c>
      <c r="AC19" s="377"/>
      <c r="AD19" s="377">
        <f t="shared" si="18"/>
        <v>0</v>
      </c>
      <c r="AE19" s="377"/>
      <c r="AF19" s="377"/>
      <c r="AG19" s="377">
        <f t="shared" si="19"/>
        <v>4061</v>
      </c>
      <c r="AH19" s="377">
        <v>4061</v>
      </c>
      <c r="AI19" s="377"/>
      <c r="AJ19" s="377">
        <f t="shared" si="20"/>
        <v>0</v>
      </c>
      <c r="AK19" s="377"/>
      <c r="AL19" s="377"/>
      <c r="AM19" s="377">
        <f t="shared" si="21"/>
        <v>150</v>
      </c>
      <c r="AN19" s="377">
        <v>150</v>
      </c>
      <c r="AO19" s="377"/>
      <c r="AP19" s="377">
        <f t="shared" si="22"/>
        <v>600</v>
      </c>
      <c r="AQ19" s="377">
        <v>600</v>
      </c>
      <c r="AR19" s="377"/>
      <c r="AS19" s="377">
        <f t="shared" si="23"/>
        <v>1303</v>
      </c>
      <c r="AT19" s="377">
        <v>1303</v>
      </c>
      <c r="AU19" s="377"/>
      <c r="AV19" s="377">
        <f t="shared" si="24"/>
        <v>10368</v>
      </c>
      <c r="AW19" s="377">
        <v>10368</v>
      </c>
      <c r="AX19" s="377"/>
      <c r="AY19" s="377">
        <f t="shared" si="25"/>
        <v>1056</v>
      </c>
      <c r="AZ19" s="377">
        <v>1056</v>
      </c>
      <c r="BA19" s="377"/>
      <c r="BB19" s="377">
        <f t="shared" si="26"/>
        <v>27699</v>
      </c>
      <c r="BC19" s="377">
        <v>27699</v>
      </c>
      <c r="BD19" s="377"/>
    </row>
    <row r="20" spans="1:56" s="353" customFormat="1" ht="30.75" customHeight="1">
      <c r="A20" s="375">
        <f t="shared" si="27"/>
        <v>10</v>
      </c>
      <c r="B20" s="376" t="s">
        <v>604</v>
      </c>
      <c r="C20" s="377">
        <f t="shared" si="7"/>
        <v>61159</v>
      </c>
      <c r="D20" s="377">
        <f t="shared" si="8"/>
        <v>61159</v>
      </c>
      <c r="E20" s="377">
        <f t="shared" si="9"/>
        <v>0</v>
      </c>
      <c r="F20" s="377">
        <f t="shared" si="10"/>
        <v>0</v>
      </c>
      <c r="G20" s="377"/>
      <c r="H20" s="377"/>
      <c r="I20" s="377">
        <f t="shared" si="11"/>
        <v>674</v>
      </c>
      <c r="J20" s="245">
        <v>674</v>
      </c>
      <c r="K20" s="377"/>
      <c r="L20" s="377">
        <f t="shared" si="12"/>
        <v>1155</v>
      </c>
      <c r="M20" s="245">
        <v>1155</v>
      </c>
      <c r="N20" s="377"/>
      <c r="O20" s="377">
        <f t="shared" si="13"/>
        <v>0</v>
      </c>
      <c r="P20" s="377"/>
      <c r="Q20" s="377"/>
      <c r="R20" s="377">
        <f t="shared" si="14"/>
        <v>1178</v>
      </c>
      <c r="S20" s="377">
        <v>1178</v>
      </c>
      <c r="T20" s="377"/>
      <c r="U20" s="377">
        <f t="shared" si="15"/>
        <v>100</v>
      </c>
      <c r="V20" s="377">
        <v>100</v>
      </c>
      <c r="W20" s="377"/>
      <c r="X20" s="377">
        <f t="shared" si="16"/>
        <v>22</v>
      </c>
      <c r="Y20" s="377">
        <v>22</v>
      </c>
      <c r="Z20" s="377"/>
      <c r="AA20" s="377">
        <f t="shared" si="17"/>
        <v>1000</v>
      </c>
      <c r="AB20" s="377">
        <v>1000</v>
      </c>
      <c r="AC20" s="377"/>
      <c r="AD20" s="377">
        <f t="shared" si="18"/>
        <v>0</v>
      </c>
      <c r="AE20" s="377"/>
      <c r="AF20" s="377"/>
      <c r="AG20" s="377">
        <f t="shared" si="19"/>
        <v>4595</v>
      </c>
      <c r="AH20" s="377">
        <v>4595</v>
      </c>
      <c r="AI20" s="377"/>
      <c r="AJ20" s="377">
        <f t="shared" si="20"/>
        <v>0</v>
      </c>
      <c r="AK20" s="377"/>
      <c r="AL20" s="377"/>
      <c r="AM20" s="377">
        <f t="shared" si="21"/>
        <v>150</v>
      </c>
      <c r="AN20" s="377">
        <v>150</v>
      </c>
      <c r="AO20" s="377"/>
      <c r="AP20" s="377">
        <f t="shared" si="22"/>
        <v>0</v>
      </c>
      <c r="AQ20" s="377"/>
      <c r="AR20" s="377"/>
      <c r="AS20" s="377">
        <f t="shared" si="23"/>
        <v>0</v>
      </c>
      <c r="AT20" s="377">
        <v>0</v>
      </c>
      <c r="AU20" s="377"/>
      <c r="AV20" s="377">
        <f t="shared" si="24"/>
        <v>17852</v>
      </c>
      <c r="AW20" s="377">
        <v>17852</v>
      </c>
      <c r="AX20" s="377"/>
      <c r="AY20" s="377">
        <f t="shared" si="25"/>
        <v>1133</v>
      </c>
      <c r="AZ20" s="377">
        <v>1133</v>
      </c>
      <c r="BA20" s="377"/>
      <c r="BB20" s="377">
        <f t="shared" si="26"/>
        <v>33300</v>
      </c>
      <c r="BC20" s="377">
        <v>33300</v>
      </c>
      <c r="BD20" s="377"/>
    </row>
    <row r="21" spans="1:56" ht="15.95" customHeight="1">
      <c r="A21" s="378"/>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row>
    <row r="22" spans="1:56" ht="25.5" customHeight="1">
      <c r="A22" s="367"/>
      <c r="B22" s="379"/>
      <c r="C22" s="353"/>
      <c r="D22" s="353"/>
      <c r="E22" s="353"/>
      <c r="F22" s="353"/>
      <c r="G22" s="353"/>
      <c r="H22" s="353"/>
      <c r="I22" s="353"/>
      <c r="J22" s="353"/>
      <c r="K22" s="353"/>
      <c r="L22" s="353"/>
      <c r="M22" s="353"/>
      <c r="N22" s="353"/>
      <c r="O22" s="353"/>
      <c r="P22" s="353"/>
      <c r="Q22" s="353"/>
    </row>
    <row r="23" spans="1:56" ht="18.75" hidden="1">
      <c r="A23" s="353"/>
      <c r="B23" s="353"/>
      <c r="C23" s="353"/>
      <c r="D23" s="374">
        <f>D10-AQ10</f>
        <v>535493</v>
      </c>
      <c r="E23" s="353"/>
      <c r="F23" s="353"/>
      <c r="G23" s="353"/>
      <c r="H23" s="353"/>
      <c r="I23" s="353"/>
      <c r="J23" s="353"/>
      <c r="K23" s="353"/>
      <c r="L23" s="353"/>
      <c r="M23" s="353"/>
      <c r="N23" s="353"/>
      <c r="O23" s="353"/>
      <c r="P23" s="353"/>
      <c r="Q23" s="353"/>
    </row>
    <row r="24" spans="1:56" ht="18.75">
      <c r="A24" s="353"/>
      <c r="B24" s="353"/>
      <c r="C24" s="353"/>
      <c r="D24" s="353"/>
      <c r="E24" s="353"/>
      <c r="F24" s="353"/>
      <c r="G24" s="353"/>
      <c r="H24" s="353"/>
      <c r="I24" s="353"/>
      <c r="J24" s="353"/>
      <c r="K24" s="353"/>
      <c r="L24" s="353"/>
      <c r="M24" s="353"/>
      <c r="N24" s="353"/>
      <c r="O24" s="353"/>
      <c r="P24" s="353"/>
      <c r="Q24" s="353"/>
    </row>
    <row r="25" spans="1:56" ht="18.75">
      <c r="A25" s="353"/>
      <c r="B25" s="353"/>
      <c r="C25" s="353"/>
      <c r="D25" s="353"/>
      <c r="E25" s="353"/>
      <c r="F25" s="353"/>
      <c r="G25" s="353"/>
      <c r="H25" s="353"/>
      <c r="I25" s="353"/>
      <c r="J25" s="353"/>
      <c r="K25" s="353"/>
      <c r="L25" s="353"/>
      <c r="M25" s="353"/>
      <c r="N25" s="353"/>
      <c r="O25" s="353"/>
      <c r="P25" s="353"/>
      <c r="Q25" s="353"/>
    </row>
    <row r="26" spans="1:56" ht="18.75">
      <c r="A26" s="353"/>
      <c r="B26" s="353"/>
      <c r="C26" s="353"/>
      <c r="D26" s="353"/>
      <c r="E26" s="353"/>
      <c r="F26" s="353"/>
      <c r="G26" s="353"/>
      <c r="H26" s="353"/>
      <c r="I26" s="353"/>
      <c r="J26" s="353"/>
      <c r="K26" s="353"/>
      <c r="L26" s="353"/>
      <c r="M26" s="353"/>
      <c r="N26" s="353"/>
      <c r="O26" s="353"/>
      <c r="P26" s="353"/>
      <c r="Q26" s="353"/>
    </row>
    <row r="27" spans="1:56" ht="18.75">
      <c r="A27" s="353"/>
      <c r="B27" s="353"/>
      <c r="C27" s="353"/>
      <c r="D27" s="353"/>
      <c r="E27" s="353"/>
      <c r="F27" s="353"/>
      <c r="G27" s="353"/>
      <c r="H27" s="353"/>
      <c r="I27" s="353"/>
      <c r="J27" s="353"/>
      <c r="K27" s="353"/>
      <c r="L27" s="353"/>
      <c r="M27" s="353"/>
      <c r="N27" s="353"/>
      <c r="O27" s="353"/>
      <c r="P27" s="353"/>
      <c r="Q27" s="353"/>
    </row>
    <row r="28" spans="1:56" ht="18.75">
      <c r="A28" s="353"/>
      <c r="B28" s="353"/>
      <c r="C28" s="353"/>
      <c r="D28" s="353"/>
      <c r="E28" s="353"/>
      <c r="F28" s="353"/>
      <c r="G28" s="353"/>
      <c r="H28" s="353"/>
      <c r="I28" s="353"/>
      <c r="J28" s="353"/>
      <c r="K28" s="353"/>
      <c r="L28" s="353"/>
      <c r="M28" s="353"/>
      <c r="N28" s="353"/>
      <c r="O28" s="353"/>
      <c r="P28" s="353"/>
      <c r="Q28" s="353"/>
    </row>
    <row r="29" spans="1:56" ht="18.75">
      <c r="A29" s="353"/>
      <c r="B29" s="353"/>
      <c r="C29" s="353"/>
      <c r="D29" s="353"/>
      <c r="E29" s="353"/>
      <c r="F29" s="353"/>
      <c r="G29" s="353"/>
      <c r="H29" s="353"/>
      <c r="I29" s="353"/>
      <c r="J29" s="353"/>
      <c r="K29" s="353"/>
      <c r="L29" s="353"/>
      <c r="M29" s="353"/>
      <c r="N29" s="353"/>
      <c r="O29" s="353"/>
      <c r="P29" s="353"/>
      <c r="Q29" s="353"/>
    </row>
    <row r="30" spans="1:56" ht="18.75">
      <c r="A30" s="353"/>
      <c r="B30" s="353"/>
      <c r="C30" s="353"/>
      <c r="D30" s="353"/>
      <c r="E30" s="353"/>
      <c r="F30" s="353"/>
      <c r="G30" s="353"/>
      <c r="H30" s="353"/>
      <c r="I30" s="353"/>
      <c r="J30" s="353"/>
      <c r="K30" s="353"/>
      <c r="L30" s="353"/>
      <c r="M30" s="353"/>
      <c r="N30" s="353"/>
      <c r="O30" s="353"/>
      <c r="P30" s="353"/>
      <c r="Q30" s="353"/>
    </row>
    <row r="31" spans="1:56" ht="18.75">
      <c r="A31" s="353"/>
      <c r="B31" s="353"/>
      <c r="C31" s="353"/>
      <c r="D31" s="353"/>
      <c r="E31" s="353"/>
      <c r="F31" s="353"/>
      <c r="G31" s="353"/>
      <c r="H31" s="353"/>
      <c r="I31" s="353"/>
      <c r="J31" s="353"/>
      <c r="K31" s="353"/>
      <c r="L31" s="353"/>
      <c r="M31" s="353"/>
      <c r="N31" s="353"/>
      <c r="O31" s="353"/>
      <c r="P31" s="353"/>
      <c r="Q31" s="353"/>
    </row>
    <row r="32" spans="1:56" ht="22.5" customHeight="1">
      <c r="A32" s="353"/>
      <c r="B32" s="353"/>
      <c r="C32" s="353"/>
      <c r="D32" s="353"/>
      <c r="E32" s="353"/>
      <c r="F32" s="353"/>
      <c r="G32" s="353"/>
      <c r="H32" s="353"/>
      <c r="I32" s="353"/>
      <c r="J32" s="353"/>
      <c r="K32" s="353"/>
      <c r="L32" s="353"/>
      <c r="M32" s="353"/>
      <c r="N32" s="353"/>
      <c r="O32" s="353"/>
      <c r="P32" s="353"/>
      <c r="Q32" s="353"/>
    </row>
    <row r="33" spans="1:17" ht="18.75">
      <c r="A33" s="353"/>
      <c r="B33" s="353"/>
      <c r="C33" s="353"/>
      <c r="D33" s="353"/>
      <c r="E33" s="353"/>
      <c r="F33" s="353"/>
      <c r="G33" s="353"/>
      <c r="H33" s="353"/>
      <c r="I33" s="353"/>
      <c r="J33" s="353"/>
      <c r="K33" s="353"/>
      <c r="L33" s="353"/>
      <c r="M33" s="353"/>
      <c r="N33" s="353"/>
      <c r="O33" s="353"/>
      <c r="P33" s="353"/>
      <c r="Q33" s="353"/>
    </row>
    <row r="34" spans="1:17" ht="18.75">
      <c r="A34" s="353"/>
      <c r="B34" s="353"/>
      <c r="C34" s="353"/>
      <c r="D34" s="353"/>
      <c r="E34" s="353"/>
      <c r="F34" s="353"/>
      <c r="G34" s="353"/>
      <c r="H34" s="353"/>
      <c r="I34" s="353"/>
      <c r="J34" s="353"/>
      <c r="K34" s="353"/>
      <c r="L34" s="353"/>
      <c r="M34" s="353"/>
      <c r="N34" s="353"/>
      <c r="O34" s="353"/>
      <c r="P34" s="353"/>
      <c r="Q34" s="353"/>
    </row>
    <row r="35" spans="1:17" ht="18.75">
      <c r="A35" s="353"/>
      <c r="B35" s="353"/>
      <c r="C35" s="353"/>
      <c r="D35" s="353"/>
      <c r="E35" s="353"/>
      <c r="F35" s="353"/>
      <c r="G35" s="353"/>
      <c r="H35" s="353"/>
      <c r="I35" s="353"/>
      <c r="J35" s="353"/>
      <c r="K35" s="353"/>
      <c r="L35" s="353"/>
      <c r="M35" s="353"/>
      <c r="N35" s="353"/>
      <c r="O35" s="353"/>
      <c r="P35" s="353"/>
      <c r="Q35" s="353"/>
    </row>
    <row r="36" spans="1:17" ht="18.75">
      <c r="A36" s="353"/>
      <c r="B36" s="353"/>
      <c r="C36" s="353"/>
      <c r="D36" s="353"/>
      <c r="E36" s="353"/>
      <c r="F36" s="353"/>
      <c r="G36" s="353"/>
      <c r="H36" s="353"/>
      <c r="I36" s="353"/>
      <c r="J36" s="353"/>
      <c r="K36" s="353"/>
      <c r="L36" s="353"/>
      <c r="M36" s="353"/>
      <c r="N36" s="353"/>
      <c r="O36" s="353"/>
      <c r="P36" s="353"/>
      <c r="Q36" s="353"/>
    </row>
  </sheetData>
  <mergeCells count="76">
    <mergeCell ref="AY5:BA5"/>
    <mergeCell ref="AY6:AY8"/>
    <mergeCell ref="AZ6:AZ8"/>
    <mergeCell ref="BA6:BA8"/>
    <mergeCell ref="AM5:AO5"/>
    <mergeCell ref="AP5:AR5"/>
    <mergeCell ref="AN6:AN8"/>
    <mergeCell ref="AM6:AM8"/>
    <mergeCell ref="AV5:AX5"/>
    <mergeCell ref="AV6:AV8"/>
    <mergeCell ref="AW6:AW8"/>
    <mergeCell ref="AX6:AX8"/>
    <mergeCell ref="AP6:AP8"/>
    <mergeCell ref="AQ6:AQ8"/>
    <mergeCell ref="AR6:AR8"/>
    <mergeCell ref="AS5:AU5"/>
    <mergeCell ref="AS6:AS8"/>
    <mergeCell ref="AT6:AT8"/>
    <mergeCell ref="AU6:AU8"/>
    <mergeCell ref="AD6:AD8"/>
    <mergeCell ref="AE6:AE8"/>
    <mergeCell ref="AF6:AF8"/>
    <mergeCell ref="AG6:AG8"/>
    <mergeCell ref="AO6:AO8"/>
    <mergeCell ref="C6:C8"/>
    <mergeCell ref="D6:D8"/>
    <mergeCell ref="E6:E8"/>
    <mergeCell ref="F6:F8"/>
    <mergeCell ref="G6:G8"/>
    <mergeCell ref="AD5:AF5"/>
    <mergeCell ref="AG5:AI5"/>
    <mergeCell ref="K6:K8"/>
    <mergeCell ref="AJ5:AL5"/>
    <mergeCell ref="AB6:AB8"/>
    <mergeCell ref="X6:X8"/>
    <mergeCell ref="Y6:Y8"/>
    <mergeCell ref="Z6:Z8"/>
    <mergeCell ref="AA6:AA8"/>
    <mergeCell ref="AH6:AH8"/>
    <mergeCell ref="AI6:AI8"/>
    <mergeCell ref="AJ6:AJ8"/>
    <mergeCell ref="AK6:AK8"/>
    <mergeCell ref="AL6:AL8"/>
    <mergeCell ref="AC6:AC8"/>
    <mergeCell ref="U5:W5"/>
    <mergeCell ref="M6:M8"/>
    <mergeCell ref="N6:N8"/>
    <mergeCell ref="O6:O8"/>
    <mergeCell ref="H6:H8"/>
    <mergeCell ref="AA5:AC5"/>
    <mergeCell ref="I6:I8"/>
    <mergeCell ref="J6:J8"/>
    <mergeCell ref="X5:Z5"/>
    <mergeCell ref="Q6:Q8"/>
    <mergeCell ref="R6:R8"/>
    <mergeCell ref="S6:S8"/>
    <mergeCell ref="T6:T8"/>
    <mergeCell ref="U6:U8"/>
    <mergeCell ref="V6:V8"/>
    <mergeCell ref="W6:W8"/>
    <mergeCell ref="BB5:BD5"/>
    <mergeCell ref="BB6:BB8"/>
    <mergeCell ref="BC6:BC8"/>
    <mergeCell ref="BD6:BD8"/>
    <mergeCell ref="A2:W2"/>
    <mergeCell ref="A3:W3"/>
    <mergeCell ref="A5:A8"/>
    <mergeCell ref="B5:B8"/>
    <mergeCell ref="C5:E5"/>
    <mergeCell ref="F5:H5"/>
    <mergeCell ref="I5:K5"/>
    <mergeCell ref="L5:N5"/>
    <mergeCell ref="O5:Q5"/>
    <mergeCell ref="R5:T5"/>
    <mergeCell ref="P6:P8"/>
    <mergeCell ref="L6:L8"/>
  </mergeCells>
  <printOptions horizontalCentered="1"/>
  <pageMargins left="0.31496062992125984" right="0.31496062992125984" top="0.31496062992125984" bottom="0.39370078740157483" header="0.19685039370078741" footer="0.15748031496062992"/>
  <pageSetup paperSize="9" scale="50" fitToWidth="0" fitToHeight="0" orientation="landscape" r:id="rId1"/>
  <headerFooter alignWithMargins="0">
    <oddFooter>&amp;C&amp;".VnTime,  Italic"&amp;8
&amp;".VnTimeH,Regular"&amp;12&amp;P/&amp;N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A1:P28"/>
  <sheetViews>
    <sheetView showZeros="0" zoomScale="70" zoomScaleNormal="70" workbookViewId="0">
      <pane xSplit="3" ySplit="10" topLeftCell="D11" activePane="bottomRight" state="frozen"/>
      <selection pane="topRight" activeCell="D1" sqref="D1"/>
      <selection pane="bottomLeft" activeCell="A11" sqref="A11"/>
      <selection pane="bottomRight" activeCell="Z29" sqref="Z29"/>
    </sheetView>
  </sheetViews>
  <sheetFormatPr defaultColWidth="8" defaultRowHeight="18.75"/>
  <cols>
    <col min="1" max="1" width="7.140625" style="750" customWidth="1"/>
    <col min="2" max="2" width="29" style="750" customWidth="1"/>
    <col min="3" max="3" width="14.140625" style="750" customWidth="1"/>
    <col min="4" max="7" width="11.140625" style="750" customWidth="1"/>
    <col min="8" max="8" width="15.140625" style="750" customWidth="1"/>
    <col min="9" max="12" width="11.140625" style="750" customWidth="1"/>
    <col min="13" max="13" width="14.140625" style="750" customWidth="1"/>
    <col min="14" max="256" width="8" style="750"/>
    <col min="257" max="257" width="7.140625" style="750" customWidth="1"/>
    <col min="258" max="258" width="29" style="750" customWidth="1"/>
    <col min="259" max="259" width="14.140625" style="750" customWidth="1"/>
    <col min="260" max="263" width="11.140625" style="750" customWidth="1"/>
    <col min="264" max="264" width="15.140625" style="750" customWidth="1"/>
    <col min="265" max="268" width="11.140625" style="750" customWidth="1"/>
    <col min="269" max="269" width="14.140625" style="750" customWidth="1"/>
    <col min="270" max="512" width="8" style="750"/>
    <col min="513" max="513" width="7.140625" style="750" customWidth="1"/>
    <col min="514" max="514" width="29" style="750" customWidth="1"/>
    <col min="515" max="515" width="14.140625" style="750" customWidth="1"/>
    <col min="516" max="519" width="11.140625" style="750" customWidth="1"/>
    <col min="520" max="520" width="15.140625" style="750" customWidth="1"/>
    <col min="521" max="524" width="11.140625" style="750" customWidth="1"/>
    <col min="525" max="525" width="14.140625" style="750" customWidth="1"/>
    <col min="526" max="768" width="8" style="750"/>
    <col min="769" max="769" width="7.140625" style="750" customWidth="1"/>
    <col min="770" max="770" width="29" style="750" customWidth="1"/>
    <col min="771" max="771" width="14.140625" style="750" customWidth="1"/>
    <col min="772" max="775" width="11.140625" style="750" customWidth="1"/>
    <col min="776" max="776" width="15.140625" style="750" customWidth="1"/>
    <col min="777" max="780" width="11.140625" style="750" customWidth="1"/>
    <col min="781" max="781" width="14.140625" style="750" customWidth="1"/>
    <col min="782" max="1024" width="8" style="750"/>
    <col min="1025" max="1025" width="7.140625" style="750" customWidth="1"/>
    <col min="1026" max="1026" width="29" style="750" customWidth="1"/>
    <col min="1027" max="1027" width="14.140625" style="750" customWidth="1"/>
    <col min="1028" max="1031" width="11.140625" style="750" customWidth="1"/>
    <col min="1032" max="1032" width="15.140625" style="750" customWidth="1"/>
    <col min="1033" max="1036" width="11.140625" style="750" customWidth="1"/>
    <col min="1037" max="1037" width="14.140625" style="750" customWidth="1"/>
    <col min="1038" max="1280" width="8" style="750"/>
    <col min="1281" max="1281" width="7.140625" style="750" customWidth="1"/>
    <col min="1282" max="1282" width="29" style="750" customWidth="1"/>
    <col min="1283" max="1283" width="14.140625" style="750" customWidth="1"/>
    <col min="1284" max="1287" width="11.140625" style="750" customWidth="1"/>
    <col min="1288" max="1288" width="15.140625" style="750" customWidth="1"/>
    <col min="1289" max="1292" width="11.140625" style="750" customWidth="1"/>
    <col min="1293" max="1293" width="14.140625" style="750" customWidth="1"/>
    <col min="1294" max="1536" width="8" style="750"/>
    <col min="1537" max="1537" width="7.140625" style="750" customWidth="1"/>
    <col min="1538" max="1538" width="29" style="750" customWidth="1"/>
    <col min="1539" max="1539" width="14.140625" style="750" customWidth="1"/>
    <col min="1540" max="1543" width="11.140625" style="750" customWidth="1"/>
    <col min="1544" max="1544" width="15.140625" style="750" customWidth="1"/>
    <col min="1545" max="1548" width="11.140625" style="750" customWidth="1"/>
    <col min="1549" max="1549" width="14.140625" style="750" customWidth="1"/>
    <col min="1550" max="1792" width="8" style="750"/>
    <col min="1793" max="1793" width="7.140625" style="750" customWidth="1"/>
    <col min="1794" max="1794" width="29" style="750" customWidth="1"/>
    <col min="1795" max="1795" width="14.140625" style="750" customWidth="1"/>
    <col min="1796" max="1799" width="11.140625" style="750" customWidth="1"/>
    <col min="1800" max="1800" width="15.140625" style="750" customWidth="1"/>
    <col min="1801" max="1804" width="11.140625" style="750" customWidth="1"/>
    <col min="1805" max="1805" width="14.140625" style="750" customWidth="1"/>
    <col min="1806" max="2048" width="8" style="750"/>
    <col min="2049" max="2049" width="7.140625" style="750" customWidth="1"/>
    <col min="2050" max="2050" width="29" style="750" customWidth="1"/>
    <col min="2051" max="2051" width="14.140625" style="750" customWidth="1"/>
    <col min="2052" max="2055" width="11.140625" style="750" customWidth="1"/>
    <col min="2056" max="2056" width="15.140625" style="750" customWidth="1"/>
    <col min="2057" max="2060" width="11.140625" style="750" customWidth="1"/>
    <col min="2061" max="2061" width="14.140625" style="750" customWidth="1"/>
    <col min="2062" max="2304" width="8" style="750"/>
    <col min="2305" max="2305" width="7.140625" style="750" customWidth="1"/>
    <col min="2306" max="2306" width="29" style="750" customWidth="1"/>
    <col min="2307" max="2307" width="14.140625" style="750" customWidth="1"/>
    <col min="2308" max="2311" width="11.140625" style="750" customWidth="1"/>
    <col min="2312" max="2312" width="15.140625" style="750" customWidth="1"/>
    <col min="2313" max="2316" width="11.140625" style="750" customWidth="1"/>
    <col min="2317" max="2317" width="14.140625" style="750" customWidth="1"/>
    <col min="2318" max="2560" width="8" style="750"/>
    <col min="2561" max="2561" width="7.140625" style="750" customWidth="1"/>
    <col min="2562" max="2562" width="29" style="750" customWidth="1"/>
    <col min="2563" max="2563" width="14.140625" style="750" customWidth="1"/>
    <col min="2564" max="2567" width="11.140625" style="750" customWidth="1"/>
    <col min="2568" max="2568" width="15.140625" style="750" customWidth="1"/>
    <col min="2569" max="2572" width="11.140625" style="750" customWidth="1"/>
    <col min="2573" max="2573" width="14.140625" style="750" customWidth="1"/>
    <col min="2574" max="2816" width="8" style="750"/>
    <col min="2817" max="2817" width="7.140625" style="750" customWidth="1"/>
    <col min="2818" max="2818" width="29" style="750" customWidth="1"/>
    <col min="2819" max="2819" width="14.140625" style="750" customWidth="1"/>
    <col min="2820" max="2823" width="11.140625" style="750" customWidth="1"/>
    <col min="2824" max="2824" width="15.140625" style="750" customWidth="1"/>
    <col min="2825" max="2828" width="11.140625" style="750" customWidth="1"/>
    <col min="2829" max="2829" width="14.140625" style="750" customWidth="1"/>
    <col min="2830" max="3072" width="8" style="750"/>
    <col min="3073" max="3073" width="7.140625" style="750" customWidth="1"/>
    <col min="3074" max="3074" width="29" style="750" customWidth="1"/>
    <col min="3075" max="3075" width="14.140625" style="750" customWidth="1"/>
    <col min="3076" max="3079" width="11.140625" style="750" customWidth="1"/>
    <col min="3080" max="3080" width="15.140625" style="750" customWidth="1"/>
    <col min="3081" max="3084" width="11.140625" style="750" customWidth="1"/>
    <col min="3085" max="3085" width="14.140625" style="750" customWidth="1"/>
    <col min="3086" max="3328" width="8" style="750"/>
    <col min="3329" max="3329" width="7.140625" style="750" customWidth="1"/>
    <col min="3330" max="3330" width="29" style="750" customWidth="1"/>
    <col min="3331" max="3331" width="14.140625" style="750" customWidth="1"/>
    <col min="3332" max="3335" width="11.140625" style="750" customWidth="1"/>
    <col min="3336" max="3336" width="15.140625" style="750" customWidth="1"/>
    <col min="3337" max="3340" width="11.140625" style="750" customWidth="1"/>
    <col min="3341" max="3341" width="14.140625" style="750" customWidth="1"/>
    <col min="3342" max="3584" width="8" style="750"/>
    <col min="3585" max="3585" width="7.140625" style="750" customWidth="1"/>
    <col min="3586" max="3586" width="29" style="750" customWidth="1"/>
    <col min="3587" max="3587" width="14.140625" style="750" customWidth="1"/>
    <col min="3588" max="3591" width="11.140625" style="750" customWidth="1"/>
    <col min="3592" max="3592" width="15.140625" style="750" customWidth="1"/>
    <col min="3593" max="3596" width="11.140625" style="750" customWidth="1"/>
    <col min="3597" max="3597" width="14.140625" style="750" customWidth="1"/>
    <col min="3598" max="3840" width="8" style="750"/>
    <col min="3841" max="3841" width="7.140625" style="750" customWidth="1"/>
    <col min="3842" max="3842" width="29" style="750" customWidth="1"/>
    <col min="3843" max="3843" width="14.140625" style="750" customWidth="1"/>
    <col min="3844" max="3847" width="11.140625" style="750" customWidth="1"/>
    <col min="3848" max="3848" width="15.140625" style="750" customWidth="1"/>
    <col min="3849" max="3852" width="11.140625" style="750" customWidth="1"/>
    <col min="3853" max="3853" width="14.140625" style="750" customWidth="1"/>
    <col min="3854" max="4096" width="8" style="750"/>
    <col min="4097" max="4097" width="7.140625" style="750" customWidth="1"/>
    <col min="4098" max="4098" width="29" style="750" customWidth="1"/>
    <col min="4099" max="4099" width="14.140625" style="750" customWidth="1"/>
    <col min="4100" max="4103" width="11.140625" style="750" customWidth="1"/>
    <col min="4104" max="4104" width="15.140625" style="750" customWidth="1"/>
    <col min="4105" max="4108" width="11.140625" style="750" customWidth="1"/>
    <col min="4109" max="4109" width="14.140625" style="750" customWidth="1"/>
    <col min="4110" max="4352" width="8" style="750"/>
    <col min="4353" max="4353" width="7.140625" style="750" customWidth="1"/>
    <col min="4354" max="4354" width="29" style="750" customWidth="1"/>
    <col min="4355" max="4355" width="14.140625" style="750" customWidth="1"/>
    <col min="4356" max="4359" width="11.140625" style="750" customWidth="1"/>
    <col min="4360" max="4360" width="15.140625" style="750" customWidth="1"/>
    <col min="4361" max="4364" width="11.140625" style="750" customWidth="1"/>
    <col min="4365" max="4365" width="14.140625" style="750" customWidth="1"/>
    <col min="4366" max="4608" width="8" style="750"/>
    <col min="4609" max="4609" width="7.140625" style="750" customWidth="1"/>
    <col min="4610" max="4610" width="29" style="750" customWidth="1"/>
    <col min="4611" max="4611" width="14.140625" style="750" customWidth="1"/>
    <col min="4612" max="4615" width="11.140625" style="750" customWidth="1"/>
    <col min="4616" max="4616" width="15.140625" style="750" customWidth="1"/>
    <col min="4617" max="4620" width="11.140625" style="750" customWidth="1"/>
    <col min="4621" max="4621" width="14.140625" style="750" customWidth="1"/>
    <col min="4622" max="4864" width="8" style="750"/>
    <col min="4865" max="4865" width="7.140625" style="750" customWidth="1"/>
    <col min="4866" max="4866" width="29" style="750" customWidth="1"/>
    <col min="4867" max="4867" width="14.140625" style="750" customWidth="1"/>
    <col min="4868" max="4871" width="11.140625" style="750" customWidth="1"/>
    <col min="4872" max="4872" width="15.140625" style="750" customWidth="1"/>
    <col min="4873" max="4876" width="11.140625" style="750" customWidth="1"/>
    <col min="4877" max="4877" width="14.140625" style="750" customWidth="1"/>
    <col min="4878" max="5120" width="8" style="750"/>
    <col min="5121" max="5121" width="7.140625" style="750" customWidth="1"/>
    <col min="5122" max="5122" width="29" style="750" customWidth="1"/>
    <col min="5123" max="5123" width="14.140625" style="750" customWidth="1"/>
    <col min="5124" max="5127" width="11.140625" style="750" customWidth="1"/>
    <col min="5128" max="5128" width="15.140625" style="750" customWidth="1"/>
    <col min="5129" max="5132" width="11.140625" style="750" customWidth="1"/>
    <col min="5133" max="5133" width="14.140625" style="750" customWidth="1"/>
    <col min="5134" max="5376" width="8" style="750"/>
    <col min="5377" max="5377" width="7.140625" style="750" customWidth="1"/>
    <col min="5378" max="5378" width="29" style="750" customWidth="1"/>
    <col min="5379" max="5379" width="14.140625" style="750" customWidth="1"/>
    <col min="5380" max="5383" width="11.140625" style="750" customWidth="1"/>
    <col min="5384" max="5384" width="15.140625" style="750" customWidth="1"/>
    <col min="5385" max="5388" width="11.140625" style="750" customWidth="1"/>
    <col min="5389" max="5389" width="14.140625" style="750" customWidth="1"/>
    <col min="5390" max="5632" width="8" style="750"/>
    <col min="5633" max="5633" width="7.140625" style="750" customWidth="1"/>
    <col min="5634" max="5634" width="29" style="750" customWidth="1"/>
    <col min="5635" max="5635" width="14.140625" style="750" customWidth="1"/>
    <col min="5636" max="5639" width="11.140625" style="750" customWidth="1"/>
    <col min="5640" max="5640" width="15.140625" style="750" customWidth="1"/>
    <col min="5641" max="5644" width="11.140625" style="750" customWidth="1"/>
    <col min="5645" max="5645" width="14.140625" style="750" customWidth="1"/>
    <col min="5646" max="5888" width="8" style="750"/>
    <col min="5889" max="5889" width="7.140625" style="750" customWidth="1"/>
    <col min="5890" max="5890" width="29" style="750" customWidth="1"/>
    <col min="5891" max="5891" width="14.140625" style="750" customWidth="1"/>
    <col min="5892" max="5895" width="11.140625" style="750" customWidth="1"/>
    <col min="5896" max="5896" width="15.140625" style="750" customWidth="1"/>
    <col min="5897" max="5900" width="11.140625" style="750" customWidth="1"/>
    <col min="5901" max="5901" width="14.140625" style="750" customWidth="1"/>
    <col min="5902" max="6144" width="8" style="750"/>
    <col min="6145" max="6145" width="7.140625" style="750" customWidth="1"/>
    <col min="6146" max="6146" width="29" style="750" customWidth="1"/>
    <col min="6147" max="6147" width="14.140625" style="750" customWidth="1"/>
    <col min="6148" max="6151" width="11.140625" style="750" customWidth="1"/>
    <col min="6152" max="6152" width="15.140625" style="750" customWidth="1"/>
    <col min="6153" max="6156" width="11.140625" style="750" customWidth="1"/>
    <col min="6157" max="6157" width="14.140625" style="750" customWidth="1"/>
    <col min="6158" max="6400" width="8" style="750"/>
    <col min="6401" max="6401" width="7.140625" style="750" customWidth="1"/>
    <col min="6402" max="6402" width="29" style="750" customWidth="1"/>
    <col min="6403" max="6403" width="14.140625" style="750" customWidth="1"/>
    <col min="6404" max="6407" width="11.140625" style="750" customWidth="1"/>
    <col min="6408" max="6408" width="15.140625" style="750" customWidth="1"/>
    <col min="6409" max="6412" width="11.140625" style="750" customWidth="1"/>
    <col min="6413" max="6413" width="14.140625" style="750" customWidth="1"/>
    <col min="6414" max="6656" width="8" style="750"/>
    <col min="6657" max="6657" width="7.140625" style="750" customWidth="1"/>
    <col min="6658" max="6658" width="29" style="750" customWidth="1"/>
    <col min="6659" max="6659" width="14.140625" style="750" customWidth="1"/>
    <col min="6660" max="6663" width="11.140625" style="750" customWidth="1"/>
    <col min="6664" max="6664" width="15.140625" style="750" customWidth="1"/>
    <col min="6665" max="6668" width="11.140625" style="750" customWidth="1"/>
    <col min="6669" max="6669" width="14.140625" style="750" customWidth="1"/>
    <col min="6670" max="6912" width="8" style="750"/>
    <col min="6913" max="6913" width="7.140625" style="750" customWidth="1"/>
    <col min="6914" max="6914" width="29" style="750" customWidth="1"/>
    <col min="6915" max="6915" width="14.140625" style="750" customWidth="1"/>
    <col min="6916" max="6919" width="11.140625" style="750" customWidth="1"/>
    <col min="6920" max="6920" width="15.140625" style="750" customWidth="1"/>
    <col min="6921" max="6924" width="11.140625" style="750" customWidth="1"/>
    <col min="6925" max="6925" width="14.140625" style="750" customWidth="1"/>
    <col min="6926" max="7168" width="8" style="750"/>
    <col min="7169" max="7169" width="7.140625" style="750" customWidth="1"/>
    <col min="7170" max="7170" width="29" style="750" customWidth="1"/>
    <col min="7171" max="7171" width="14.140625" style="750" customWidth="1"/>
    <col min="7172" max="7175" width="11.140625" style="750" customWidth="1"/>
    <col min="7176" max="7176" width="15.140625" style="750" customWidth="1"/>
    <col min="7177" max="7180" width="11.140625" style="750" customWidth="1"/>
    <col min="7181" max="7181" width="14.140625" style="750" customWidth="1"/>
    <col min="7182" max="7424" width="8" style="750"/>
    <col min="7425" max="7425" width="7.140625" style="750" customWidth="1"/>
    <col min="7426" max="7426" width="29" style="750" customWidth="1"/>
    <col min="7427" max="7427" width="14.140625" style="750" customWidth="1"/>
    <col min="7428" max="7431" width="11.140625" style="750" customWidth="1"/>
    <col min="7432" max="7432" width="15.140625" style="750" customWidth="1"/>
    <col min="7433" max="7436" width="11.140625" style="750" customWidth="1"/>
    <col min="7437" max="7437" width="14.140625" style="750" customWidth="1"/>
    <col min="7438" max="7680" width="8" style="750"/>
    <col min="7681" max="7681" width="7.140625" style="750" customWidth="1"/>
    <col min="7682" max="7682" width="29" style="750" customWidth="1"/>
    <col min="7683" max="7683" width="14.140625" style="750" customWidth="1"/>
    <col min="7684" max="7687" width="11.140625" style="750" customWidth="1"/>
    <col min="7688" max="7688" width="15.140625" style="750" customWidth="1"/>
    <col min="7689" max="7692" width="11.140625" style="750" customWidth="1"/>
    <col min="7693" max="7693" width="14.140625" style="750" customWidth="1"/>
    <col min="7694" max="7936" width="8" style="750"/>
    <col min="7937" max="7937" width="7.140625" style="750" customWidth="1"/>
    <col min="7938" max="7938" width="29" style="750" customWidth="1"/>
    <col min="7939" max="7939" width="14.140625" style="750" customWidth="1"/>
    <col min="7940" max="7943" width="11.140625" style="750" customWidth="1"/>
    <col min="7944" max="7944" width="15.140625" style="750" customWidth="1"/>
    <col min="7945" max="7948" width="11.140625" style="750" customWidth="1"/>
    <col min="7949" max="7949" width="14.140625" style="750" customWidth="1"/>
    <col min="7950" max="8192" width="8" style="750"/>
    <col min="8193" max="8193" width="7.140625" style="750" customWidth="1"/>
    <col min="8194" max="8194" width="29" style="750" customWidth="1"/>
    <col min="8195" max="8195" width="14.140625" style="750" customWidth="1"/>
    <col min="8196" max="8199" width="11.140625" style="750" customWidth="1"/>
    <col min="8200" max="8200" width="15.140625" style="750" customWidth="1"/>
    <col min="8201" max="8204" width="11.140625" style="750" customWidth="1"/>
    <col min="8205" max="8205" width="14.140625" style="750" customWidth="1"/>
    <col min="8206" max="8448" width="8" style="750"/>
    <col min="8449" max="8449" width="7.140625" style="750" customWidth="1"/>
    <col min="8450" max="8450" width="29" style="750" customWidth="1"/>
    <col min="8451" max="8451" width="14.140625" style="750" customWidth="1"/>
    <col min="8452" max="8455" width="11.140625" style="750" customWidth="1"/>
    <col min="8456" max="8456" width="15.140625" style="750" customWidth="1"/>
    <col min="8457" max="8460" width="11.140625" style="750" customWidth="1"/>
    <col min="8461" max="8461" width="14.140625" style="750" customWidth="1"/>
    <col min="8462" max="8704" width="8" style="750"/>
    <col min="8705" max="8705" width="7.140625" style="750" customWidth="1"/>
    <col min="8706" max="8706" width="29" style="750" customWidth="1"/>
    <col min="8707" max="8707" width="14.140625" style="750" customWidth="1"/>
    <col min="8708" max="8711" width="11.140625" style="750" customWidth="1"/>
    <col min="8712" max="8712" width="15.140625" style="750" customWidth="1"/>
    <col min="8713" max="8716" width="11.140625" style="750" customWidth="1"/>
    <col min="8717" max="8717" width="14.140625" style="750" customWidth="1"/>
    <col min="8718" max="8960" width="8" style="750"/>
    <col min="8961" max="8961" width="7.140625" style="750" customWidth="1"/>
    <col min="8962" max="8962" width="29" style="750" customWidth="1"/>
    <col min="8963" max="8963" width="14.140625" style="750" customWidth="1"/>
    <col min="8964" max="8967" width="11.140625" style="750" customWidth="1"/>
    <col min="8968" max="8968" width="15.140625" style="750" customWidth="1"/>
    <col min="8969" max="8972" width="11.140625" style="750" customWidth="1"/>
    <col min="8973" max="8973" width="14.140625" style="750" customWidth="1"/>
    <col min="8974" max="9216" width="8" style="750"/>
    <col min="9217" max="9217" width="7.140625" style="750" customWidth="1"/>
    <col min="9218" max="9218" width="29" style="750" customWidth="1"/>
    <col min="9219" max="9219" width="14.140625" style="750" customWidth="1"/>
    <col min="9220" max="9223" width="11.140625" style="750" customWidth="1"/>
    <col min="9224" max="9224" width="15.140625" style="750" customWidth="1"/>
    <col min="9225" max="9228" width="11.140625" style="750" customWidth="1"/>
    <col min="9229" max="9229" width="14.140625" style="750" customWidth="1"/>
    <col min="9230" max="9472" width="8" style="750"/>
    <col min="9473" max="9473" width="7.140625" style="750" customWidth="1"/>
    <col min="9474" max="9474" width="29" style="750" customWidth="1"/>
    <col min="9475" max="9475" width="14.140625" style="750" customWidth="1"/>
    <col min="9476" max="9479" width="11.140625" style="750" customWidth="1"/>
    <col min="9480" max="9480" width="15.140625" style="750" customWidth="1"/>
    <col min="9481" max="9484" width="11.140625" style="750" customWidth="1"/>
    <col min="9485" max="9485" width="14.140625" style="750" customWidth="1"/>
    <col min="9486" max="9728" width="8" style="750"/>
    <col min="9729" max="9729" width="7.140625" style="750" customWidth="1"/>
    <col min="9730" max="9730" width="29" style="750" customWidth="1"/>
    <col min="9731" max="9731" width="14.140625" style="750" customWidth="1"/>
    <col min="9732" max="9735" width="11.140625" style="750" customWidth="1"/>
    <col min="9736" max="9736" width="15.140625" style="750" customWidth="1"/>
    <col min="9737" max="9740" width="11.140625" style="750" customWidth="1"/>
    <col min="9741" max="9741" width="14.140625" style="750" customWidth="1"/>
    <col min="9742" max="9984" width="8" style="750"/>
    <col min="9985" max="9985" width="7.140625" style="750" customWidth="1"/>
    <col min="9986" max="9986" width="29" style="750" customWidth="1"/>
    <col min="9987" max="9987" width="14.140625" style="750" customWidth="1"/>
    <col min="9988" max="9991" width="11.140625" style="750" customWidth="1"/>
    <col min="9992" max="9992" width="15.140625" style="750" customWidth="1"/>
    <col min="9993" max="9996" width="11.140625" style="750" customWidth="1"/>
    <col min="9997" max="9997" width="14.140625" style="750" customWidth="1"/>
    <col min="9998" max="10240" width="8" style="750"/>
    <col min="10241" max="10241" width="7.140625" style="750" customWidth="1"/>
    <col min="10242" max="10242" width="29" style="750" customWidth="1"/>
    <col min="10243" max="10243" width="14.140625" style="750" customWidth="1"/>
    <col min="10244" max="10247" width="11.140625" style="750" customWidth="1"/>
    <col min="10248" max="10248" width="15.140625" style="750" customWidth="1"/>
    <col min="10249" max="10252" width="11.140625" style="750" customWidth="1"/>
    <col min="10253" max="10253" width="14.140625" style="750" customWidth="1"/>
    <col min="10254" max="10496" width="8" style="750"/>
    <col min="10497" max="10497" width="7.140625" style="750" customWidth="1"/>
    <col min="10498" max="10498" width="29" style="750" customWidth="1"/>
    <col min="10499" max="10499" width="14.140625" style="750" customWidth="1"/>
    <col min="10500" max="10503" width="11.140625" style="750" customWidth="1"/>
    <col min="10504" max="10504" width="15.140625" style="750" customWidth="1"/>
    <col min="10505" max="10508" width="11.140625" style="750" customWidth="1"/>
    <col min="10509" max="10509" width="14.140625" style="750" customWidth="1"/>
    <col min="10510" max="10752" width="8" style="750"/>
    <col min="10753" max="10753" width="7.140625" style="750" customWidth="1"/>
    <col min="10754" max="10754" width="29" style="750" customWidth="1"/>
    <col min="10755" max="10755" width="14.140625" style="750" customWidth="1"/>
    <col min="10756" max="10759" width="11.140625" style="750" customWidth="1"/>
    <col min="10760" max="10760" width="15.140625" style="750" customWidth="1"/>
    <col min="10761" max="10764" width="11.140625" style="750" customWidth="1"/>
    <col min="10765" max="10765" width="14.140625" style="750" customWidth="1"/>
    <col min="10766" max="11008" width="8" style="750"/>
    <col min="11009" max="11009" width="7.140625" style="750" customWidth="1"/>
    <col min="11010" max="11010" width="29" style="750" customWidth="1"/>
    <col min="11011" max="11011" width="14.140625" style="750" customWidth="1"/>
    <col min="11012" max="11015" width="11.140625" style="750" customWidth="1"/>
    <col min="11016" max="11016" width="15.140625" style="750" customWidth="1"/>
    <col min="11017" max="11020" width="11.140625" style="750" customWidth="1"/>
    <col min="11021" max="11021" width="14.140625" style="750" customWidth="1"/>
    <col min="11022" max="11264" width="8" style="750"/>
    <col min="11265" max="11265" width="7.140625" style="750" customWidth="1"/>
    <col min="11266" max="11266" width="29" style="750" customWidth="1"/>
    <col min="11267" max="11267" width="14.140625" style="750" customWidth="1"/>
    <col min="11268" max="11271" width="11.140625" style="750" customWidth="1"/>
    <col min="11272" max="11272" width="15.140625" style="750" customWidth="1"/>
    <col min="11273" max="11276" width="11.140625" style="750" customWidth="1"/>
    <col min="11277" max="11277" width="14.140625" style="750" customWidth="1"/>
    <col min="11278" max="11520" width="8" style="750"/>
    <col min="11521" max="11521" width="7.140625" style="750" customWidth="1"/>
    <col min="11522" max="11522" width="29" style="750" customWidth="1"/>
    <col min="11523" max="11523" width="14.140625" style="750" customWidth="1"/>
    <col min="11524" max="11527" width="11.140625" style="750" customWidth="1"/>
    <col min="11528" max="11528" width="15.140625" style="750" customWidth="1"/>
    <col min="11529" max="11532" width="11.140625" style="750" customWidth="1"/>
    <col min="11533" max="11533" width="14.140625" style="750" customWidth="1"/>
    <col min="11534" max="11776" width="8" style="750"/>
    <col min="11777" max="11777" width="7.140625" style="750" customWidth="1"/>
    <col min="11778" max="11778" width="29" style="750" customWidth="1"/>
    <col min="11779" max="11779" width="14.140625" style="750" customWidth="1"/>
    <col min="11780" max="11783" width="11.140625" style="750" customWidth="1"/>
    <col min="11784" max="11784" width="15.140625" style="750" customWidth="1"/>
    <col min="11785" max="11788" width="11.140625" style="750" customWidth="1"/>
    <col min="11789" max="11789" width="14.140625" style="750" customWidth="1"/>
    <col min="11790" max="12032" width="8" style="750"/>
    <col min="12033" max="12033" width="7.140625" style="750" customWidth="1"/>
    <col min="12034" max="12034" width="29" style="750" customWidth="1"/>
    <col min="12035" max="12035" width="14.140625" style="750" customWidth="1"/>
    <col min="12036" max="12039" width="11.140625" style="750" customWidth="1"/>
    <col min="12040" max="12040" width="15.140625" style="750" customWidth="1"/>
    <col min="12041" max="12044" width="11.140625" style="750" customWidth="1"/>
    <col min="12045" max="12045" width="14.140625" style="750" customWidth="1"/>
    <col min="12046" max="12288" width="8" style="750"/>
    <col min="12289" max="12289" width="7.140625" style="750" customWidth="1"/>
    <col min="12290" max="12290" width="29" style="750" customWidth="1"/>
    <col min="12291" max="12291" width="14.140625" style="750" customWidth="1"/>
    <col min="12292" max="12295" width="11.140625" style="750" customWidth="1"/>
    <col min="12296" max="12296" width="15.140625" style="750" customWidth="1"/>
    <col min="12297" max="12300" width="11.140625" style="750" customWidth="1"/>
    <col min="12301" max="12301" width="14.140625" style="750" customWidth="1"/>
    <col min="12302" max="12544" width="8" style="750"/>
    <col min="12545" max="12545" width="7.140625" style="750" customWidth="1"/>
    <col min="12546" max="12546" width="29" style="750" customWidth="1"/>
    <col min="12547" max="12547" width="14.140625" style="750" customWidth="1"/>
    <col min="12548" max="12551" width="11.140625" style="750" customWidth="1"/>
    <col min="12552" max="12552" width="15.140625" style="750" customWidth="1"/>
    <col min="12553" max="12556" width="11.140625" style="750" customWidth="1"/>
    <col min="12557" max="12557" width="14.140625" style="750" customWidth="1"/>
    <col min="12558" max="12800" width="8" style="750"/>
    <col min="12801" max="12801" width="7.140625" style="750" customWidth="1"/>
    <col min="12802" max="12802" width="29" style="750" customWidth="1"/>
    <col min="12803" max="12803" width="14.140625" style="750" customWidth="1"/>
    <col min="12804" max="12807" width="11.140625" style="750" customWidth="1"/>
    <col min="12808" max="12808" width="15.140625" style="750" customWidth="1"/>
    <col min="12809" max="12812" width="11.140625" style="750" customWidth="1"/>
    <col min="12813" max="12813" width="14.140625" style="750" customWidth="1"/>
    <col min="12814" max="13056" width="8" style="750"/>
    <col min="13057" max="13057" width="7.140625" style="750" customWidth="1"/>
    <col min="13058" max="13058" width="29" style="750" customWidth="1"/>
    <col min="13059" max="13059" width="14.140625" style="750" customWidth="1"/>
    <col min="13060" max="13063" width="11.140625" style="750" customWidth="1"/>
    <col min="13064" max="13064" width="15.140625" style="750" customWidth="1"/>
    <col min="13065" max="13068" width="11.140625" style="750" customWidth="1"/>
    <col min="13069" max="13069" width="14.140625" style="750" customWidth="1"/>
    <col min="13070" max="13312" width="8" style="750"/>
    <col min="13313" max="13313" width="7.140625" style="750" customWidth="1"/>
    <col min="13314" max="13314" width="29" style="750" customWidth="1"/>
    <col min="13315" max="13315" width="14.140625" style="750" customWidth="1"/>
    <col min="13316" max="13319" width="11.140625" style="750" customWidth="1"/>
    <col min="13320" max="13320" width="15.140625" style="750" customWidth="1"/>
    <col min="13321" max="13324" width="11.140625" style="750" customWidth="1"/>
    <col min="13325" max="13325" width="14.140625" style="750" customWidth="1"/>
    <col min="13326" max="13568" width="8" style="750"/>
    <col min="13569" max="13569" width="7.140625" style="750" customWidth="1"/>
    <col min="13570" max="13570" width="29" style="750" customWidth="1"/>
    <col min="13571" max="13571" width="14.140625" style="750" customWidth="1"/>
    <col min="13572" max="13575" width="11.140625" style="750" customWidth="1"/>
    <col min="13576" max="13576" width="15.140625" style="750" customWidth="1"/>
    <col min="13577" max="13580" width="11.140625" style="750" customWidth="1"/>
    <col min="13581" max="13581" width="14.140625" style="750" customWidth="1"/>
    <col min="13582" max="13824" width="8" style="750"/>
    <col min="13825" max="13825" width="7.140625" style="750" customWidth="1"/>
    <col min="13826" max="13826" width="29" style="750" customWidth="1"/>
    <col min="13827" max="13827" width="14.140625" style="750" customWidth="1"/>
    <col min="13828" max="13831" width="11.140625" style="750" customWidth="1"/>
    <col min="13832" max="13832" width="15.140625" style="750" customWidth="1"/>
    <col min="13833" max="13836" width="11.140625" style="750" customWidth="1"/>
    <col min="13837" max="13837" width="14.140625" style="750" customWidth="1"/>
    <col min="13838" max="14080" width="8" style="750"/>
    <col min="14081" max="14081" width="7.140625" style="750" customWidth="1"/>
    <col min="14082" max="14082" width="29" style="750" customWidth="1"/>
    <col min="14083" max="14083" width="14.140625" style="750" customWidth="1"/>
    <col min="14084" max="14087" width="11.140625" style="750" customWidth="1"/>
    <col min="14088" max="14088" width="15.140625" style="750" customWidth="1"/>
    <col min="14089" max="14092" width="11.140625" style="750" customWidth="1"/>
    <col min="14093" max="14093" width="14.140625" style="750" customWidth="1"/>
    <col min="14094" max="14336" width="8" style="750"/>
    <col min="14337" max="14337" width="7.140625" style="750" customWidth="1"/>
    <col min="14338" max="14338" width="29" style="750" customWidth="1"/>
    <col min="14339" max="14339" width="14.140625" style="750" customWidth="1"/>
    <col min="14340" max="14343" width="11.140625" style="750" customWidth="1"/>
    <col min="14344" max="14344" width="15.140625" style="750" customWidth="1"/>
    <col min="14345" max="14348" width="11.140625" style="750" customWidth="1"/>
    <col min="14349" max="14349" width="14.140625" style="750" customWidth="1"/>
    <col min="14350" max="14592" width="8" style="750"/>
    <col min="14593" max="14593" width="7.140625" style="750" customWidth="1"/>
    <col min="14594" max="14594" width="29" style="750" customWidth="1"/>
    <col min="14595" max="14595" width="14.140625" style="750" customWidth="1"/>
    <col min="14596" max="14599" width="11.140625" style="750" customWidth="1"/>
    <col min="14600" max="14600" width="15.140625" style="750" customWidth="1"/>
    <col min="14601" max="14604" width="11.140625" style="750" customWidth="1"/>
    <col min="14605" max="14605" width="14.140625" style="750" customWidth="1"/>
    <col min="14606" max="14848" width="8" style="750"/>
    <col min="14849" max="14849" width="7.140625" style="750" customWidth="1"/>
    <col min="14850" max="14850" width="29" style="750" customWidth="1"/>
    <col min="14851" max="14851" width="14.140625" style="750" customWidth="1"/>
    <col min="14852" max="14855" width="11.140625" style="750" customWidth="1"/>
    <col min="14856" max="14856" width="15.140625" style="750" customWidth="1"/>
    <col min="14857" max="14860" width="11.140625" style="750" customWidth="1"/>
    <col min="14861" max="14861" width="14.140625" style="750" customWidth="1"/>
    <col min="14862" max="15104" width="8" style="750"/>
    <col min="15105" max="15105" width="7.140625" style="750" customWidth="1"/>
    <col min="15106" max="15106" width="29" style="750" customWidth="1"/>
    <col min="15107" max="15107" width="14.140625" style="750" customWidth="1"/>
    <col min="15108" max="15111" width="11.140625" style="750" customWidth="1"/>
    <col min="15112" max="15112" width="15.140625" style="750" customWidth="1"/>
    <col min="15113" max="15116" width="11.140625" style="750" customWidth="1"/>
    <col min="15117" max="15117" width="14.140625" style="750" customWidth="1"/>
    <col min="15118" max="15360" width="8" style="750"/>
    <col min="15361" max="15361" width="7.140625" style="750" customWidth="1"/>
    <col min="15362" max="15362" width="29" style="750" customWidth="1"/>
    <col min="15363" max="15363" width="14.140625" style="750" customWidth="1"/>
    <col min="15364" max="15367" width="11.140625" style="750" customWidth="1"/>
    <col min="15368" max="15368" width="15.140625" style="750" customWidth="1"/>
    <col min="15369" max="15372" width="11.140625" style="750" customWidth="1"/>
    <col min="15373" max="15373" width="14.140625" style="750" customWidth="1"/>
    <col min="15374" max="15616" width="8" style="750"/>
    <col min="15617" max="15617" width="7.140625" style="750" customWidth="1"/>
    <col min="15618" max="15618" width="29" style="750" customWidth="1"/>
    <col min="15619" max="15619" width="14.140625" style="750" customWidth="1"/>
    <col min="15620" max="15623" width="11.140625" style="750" customWidth="1"/>
    <col min="15624" max="15624" width="15.140625" style="750" customWidth="1"/>
    <col min="15625" max="15628" width="11.140625" style="750" customWidth="1"/>
    <col min="15629" max="15629" width="14.140625" style="750" customWidth="1"/>
    <col min="15630" max="15872" width="8" style="750"/>
    <col min="15873" max="15873" width="7.140625" style="750" customWidth="1"/>
    <col min="15874" max="15874" width="29" style="750" customWidth="1"/>
    <col min="15875" max="15875" width="14.140625" style="750" customWidth="1"/>
    <col min="15876" max="15879" width="11.140625" style="750" customWidth="1"/>
    <col min="15880" max="15880" width="15.140625" style="750" customWidth="1"/>
    <col min="15881" max="15884" width="11.140625" style="750" customWidth="1"/>
    <col min="15885" max="15885" width="14.140625" style="750" customWidth="1"/>
    <col min="15886" max="16128" width="8" style="750"/>
    <col min="16129" max="16129" width="7.140625" style="750" customWidth="1"/>
    <col min="16130" max="16130" width="29" style="750" customWidth="1"/>
    <col min="16131" max="16131" width="14.140625" style="750" customWidth="1"/>
    <col min="16132" max="16135" width="11.140625" style="750" customWidth="1"/>
    <col min="16136" max="16136" width="15.140625" style="750" customWidth="1"/>
    <col min="16137" max="16140" width="11.140625" style="750" customWidth="1"/>
    <col min="16141" max="16141" width="14.140625" style="750" customWidth="1"/>
    <col min="16142" max="16384" width="8" style="750"/>
  </cols>
  <sheetData>
    <row r="1" spans="1:16">
      <c r="B1" s="751"/>
      <c r="M1" s="776" t="s">
        <v>1150</v>
      </c>
      <c r="N1" s="771"/>
    </row>
    <row r="2" spans="1:16" s="753" customFormat="1" ht="43.5" customHeight="1">
      <c r="A2" s="1142" t="s">
        <v>1151</v>
      </c>
      <c r="B2" s="1142"/>
      <c r="C2" s="1142"/>
      <c r="D2" s="1142"/>
      <c r="E2" s="1142"/>
      <c r="F2" s="1142"/>
      <c r="G2" s="1142"/>
      <c r="H2" s="1142"/>
      <c r="I2" s="1142"/>
      <c r="J2" s="1142"/>
      <c r="K2" s="1142"/>
      <c r="L2" s="1142"/>
      <c r="M2" s="1142"/>
    </row>
    <row r="3" spans="1:16" s="753" customFormat="1" ht="18" customHeight="1">
      <c r="A3" s="1143" t="s">
        <v>626</v>
      </c>
      <c r="B3" s="1143"/>
      <c r="C3" s="1143"/>
      <c r="D3" s="1143"/>
      <c r="E3" s="1143"/>
      <c r="F3" s="1143"/>
      <c r="G3" s="1143"/>
      <c r="H3" s="1143"/>
      <c r="I3" s="1143"/>
      <c r="J3" s="1143"/>
      <c r="K3" s="1143"/>
      <c r="L3" s="1143"/>
      <c r="M3" s="1143"/>
    </row>
    <row r="4" spans="1:16" ht="19.5" customHeight="1">
      <c r="M4" s="748" t="s">
        <v>2</v>
      </c>
      <c r="N4" s="383"/>
      <c r="O4" s="383"/>
      <c r="P4" s="383"/>
    </row>
    <row r="5" spans="1:16" s="756" customFormat="1" ht="30" customHeight="1">
      <c r="A5" s="1144" t="s">
        <v>3</v>
      </c>
      <c r="B5" s="1145" t="s">
        <v>1152</v>
      </c>
      <c r="C5" s="1146" t="s">
        <v>1153</v>
      </c>
      <c r="D5" s="1144" t="s">
        <v>6</v>
      </c>
      <c r="E5" s="1144"/>
      <c r="F5" s="1144"/>
      <c r="G5" s="1144"/>
      <c r="H5" s="1146" t="s">
        <v>1154</v>
      </c>
      <c r="I5" s="1144" t="s">
        <v>1113</v>
      </c>
      <c r="J5" s="1144"/>
      <c r="K5" s="1144"/>
      <c r="L5" s="1144"/>
      <c r="M5" s="1144" t="s">
        <v>1155</v>
      </c>
    </row>
    <row r="6" spans="1:16" s="756" customFormat="1" ht="56.25" customHeight="1">
      <c r="A6" s="1144"/>
      <c r="B6" s="1145"/>
      <c r="C6" s="1146"/>
      <c r="D6" s="1146" t="s">
        <v>1124</v>
      </c>
      <c r="E6" s="1146"/>
      <c r="F6" s="1146" t="s">
        <v>1125</v>
      </c>
      <c r="G6" s="1146" t="s">
        <v>1126</v>
      </c>
      <c r="H6" s="1146"/>
      <c r="I6" s="1146" t="s">
        <v>1124</v>
      </c>
      <c r="J6" s="1146"/>
      <c r="K6" s="1146" t="s">
        <v>1125</v>
      </c>
      <c r="L6" s="1146" t="s">
        <v>1126</v>
      </c>
      <c r="M6" s="1144"/>
    </row>
    <row r="7" spans="1:16" s="756" customFormat="1" ht="47.25" customHeight="1">
      <c r="A7" s="1144"/>
      <c r="B7" s="1145"/>
      <c r="C7" s="1146"/>
      <c r="D7" s="1146" t="s">
        <v>89</v>
      </c>
      <c r="E7" s="1146" t="s">
        <v>1127</v>
      </c>
      <c r="F7" s="1146"/>
      <c r="G7" s="1146"/>
      <c r="H7" s="1146"/>
      <c r="I7" s="1146" t="s">
        <v>89</v>
      </c>
      <c r="J7" s="1146" t="s">
        <v>1127</v>
      </c>
      <c r="K7" s="1146"/>
      <c r="L7" s="1146"/>
      <c r="M7" s="1144"/>
    </row>
    <row r="8" spans="1:16" s="757" customFormat="1" ht="47.25" customHeight="1">
      <c r="A8" s="1144"/>
      <c r="B8" s="1145"/>
      <c r="C8" s="1146"/>
      <c r="D8" s="1146"/>
      <c r="E8" s="1146"/>
      <c r="F8" s="1146"/>
      <c r="G8" s="1146"/>
      <c r="H8" s="1146"/>
      <c r="I8" s="1146"/>
      <c r="J8" s="1146"/>
      <c r="K8" s="1146"/>
      <c r="L8" s="1146"/>
      <c r="M8" s="1144"/>
    </row>
    <row r="9" spans="1:16" s="780" customFormat="1" ht="15.75" customHeight="1">
      <c r="A9" s="777" t="s">
        <v>10</v>
      </c>
      <c r="B9" s="777" t="s">
        <v>11</v>
      </c>
      <c r="C9" s="778">
        <v>1</v>
      </c>
      <c r="D9" s="778">
        <f>C9+1</f>
        <v>2</v>
      </c>
      <c r="E9" s="778">
        <f>D9+1</f>
        <v>3</v>
      </c>
      <c r="F9" s="778">
        <f>E9+1</f>
        <v>4</v>
      </c>
      <c r="G9" s="778" t="s">
        <v>1156</v>
      </c>
      <c r="H9" s="778" t="s">
        <v>1157</v>
      </c>
      <c r="I9" s="778">
        <v>7</v>
      </c>
      <c r="J9" s="778">
        <f>I9+1</f>
        <v>8</v>
      </c>
      <c r="K9" s="778">
        <f>J9+1</f>
        <v>9</v>
      </c>
      <c r="L9" s="778" t="s">
        <v>1158</v>
      </c>
      <c r="M9" s="779" t="s">
        <v>1159</v>
      </c>
    </row>
    <row r="10" spans="1:16" s="765" customFormat="1" ht="27" customHeight="1">
      <c r="A10" s="781"/>
      <c r="B10" s="781" t="s">
        <v>1131</v>
      </c>
      <c r="C10" s="782">
        <f>SUM(C11:C27)</f>
        <v>693556.74456200015</v>
      </c>
      <c r="D10" s="782">
        <f t="shared" ref="D10:M10" si="0">SUM(D11:D27)</f>
        <v>632113.31811200012</v>
      </c>
      <c r="E10" s="782">
        <f t="shared" si="0"/>
        <v>4000</v>
      </c>
      <c r="F10" s="782">
        <f t="shared" si="0"/>
        <v>788620.92543199996</v>
      </c>
      <c r="G10" s="782">
        <f t="shared" si="0"/>
        <v>-156507.60732000004</v>
      </c>
      <c r="H10" s="782">
        <f t="shared" si="0"/>
        <v>537049.13724199997</v>
      </c>
      <c r="I10" s="782">
        <f t="shared" si="0"/>
        <v>420861</v>
      </c>
      <c r="J10" s="782">
        <f t="shared" si="0"/>
        <v>23000</v>
      </c>
      <c r="K10" s="782">
        <f t="shared" si="0"/>
        <v>456866.62000300002</v>
      </c>
      <c r="L10" s="782">
        <f t="shared" si="0"/>
        <v>-36005.620003000018</v>
      </c>
      <c r="M10" s="782">
        <f t="shared" si="0"/>
        <v>501043.51723899995</v>
      </c>
    </row>
    <row r="11" spans="1:16" s="771" customFormat="1" ht="15.75">
      <c r="A11" s="783">
        <v>1</v>
      </c>
      <c r="B11" s="784" t="s">
        <v>1132</v>
      </c>
      <c r="C11" s="770">
        <f>[1]PL28_TCDN!C11</f>
        <v>147274.22</v>
      </c>
      <c r="D11" s="769">
        <f>[1]PL28_TCDN!H11</f>
        <v>208436</v>
      </c>
      <c r="E11" s="769">
        <f>[1]PL28_TCDN!I11</f>
        <v>0</v>
      </c>
      <c r="F11" s="769">
        <f>[1]PL28_TCDN!J11</f>
        <v>165896</v>
      </c>
      <c r="G11" s="770">
        <f>D11-F11</f>
        <v>42540</v>
      </c>
      <c r="H11" s="770">
        <f>C11+D11-F11</f>
        <v>189814.21999999997</v>
      </c>
      <c r="I11" s="770">
        <v>34620</v>
      </c>
      <c r="J11" s="770">
        <v>10000</v>
      </c>
      <c r="K11" s="770">
        <v>32900</v>
      </c>
      <c r="L11" s="770">
        <f>I11-K11</f>
        <v>1720</v>
      </c>
      <c r="M11" s="770">
        <f>H11+I11-K11</f>
        <v>191534.21999999997</v>
      </c>
    </row>
    <row r="12" spans="1:16" s="771" customFormat="1" ht="15.75">
      <c r="A12" s="783">
        <v>2</v>
      </c>
      <c r="B12" s="784" t="s">
        <v>1133</v>
      </c>
      <c r="C12" s="770">
        <f>[1]PL28_TCDN!C12</f>
        <v>50392</v>
      </c>
      <c r="D12" s="769">
        <f>[1]PL28_TCDN!H12</f>
        <v>13500</v>
      </c>
      <c r="E12" s="769">
        <f>[1]PL28_TCDN!I12</f>
        <v>4000</v>
      </c>
      <c r="F12" s="769">
        <f>[1]PL28_TCDN!J12</f>
        <v>6804</v>
      </c>
      <c r="G12" s="770">
        <f t="shared" ref="G12:G27" si="1">D12-F12</f>
        <v>6696</v>
      </c>
      <c r="H12" s="770">
        <f>C12+D12-F12</f>
        <v>57088</v>
      </c>
      <c r="I12" s="770">
        <v>8680</v>
      </c>
      <c r="J12" s="770">
        <v>8000</v>
      </c>
      <c r="K12" s="770">
        <v>6680</v>
      </c>
      <c r="L12" s="770">
        <f t="shared" ref="L12:L27" si="2">I12-K12</f>
        <v>2000</v>
      </c>
      <c r="M12" s="770">
        <f t="shared" ref="M12:M27" si="3">H12+I12-K12</f>
        <v>59088</v>
      </c>
    </row>
    <row r="13" spans="1:16" s="771" customFormat="1" ht="15.75">
      <c r="A13" s="783">
        <v>3</v>
      </c>
      <c r="B13" s="784" t="s">
        <v>1134</v>
      </c>
      <c r="C13" s="770">
        <f>[1]PL28_TCDN!C13</f>
        <v>465781.51465999999</v>
      </c>
      <c r="D13" s="769">
        <f>[1]PL28_TCDN!H13</f>
        <v>390651.39090399997</v>
      </c>
      <c r="E13" s="769">
        <f>[1]PL28_TCDN!I13</f>
        <v>0</v>
      </c>
      <c r="F13" s="769">
        <f>[1]PL28_TCDN!J13</f>
        <v>591056.72081099998</v>
      </c>
      <c r="G13" s="770">
        <f t="shared" si="1"/>
        <v>-200405.32990700001</v>
      </c>
      <c r="H13" s="770">
        <f t="shared" ref="H13:H27" si="4">C13+D13-F13</f>
        <v>265376.18475299992</v>
      </c>
      <c r="I13" s="770">
        <v>361298</v>
      </c>
      <c r="J13" s="770"/>
      <c r="K13" s="770">
        <v>400475.62000300002</v>
      </c>
      <c r="L13" s="770">
        <f t="shared" si="2"/>
        <v>-39177.620003000018</v>
      </c>
      <c r="M13" s="770">
        <f t="shared" si="3"/>
        <v>226198.5647499999</v>
      </c>
    </row>
    <row r="14" spans="1:16" s="771" customFormat="1" ht="15.75">
      <c r="A14" s="783">
        <v>4</v>
      </c>
      <c r="B14" s="784" t="s">
        <v>1135</v>
      </c>
      <c r="C14" s="770">
        <f>[1]PL28_TCDN!C14</f>
        <v>361.71279299999998</v>
      </c>
      <c r="D14" s="769">
        <f>[1]PL28_TCDN!H14</f>
        <v>5660.55</v>
      </c>
      <c r="E14" s="769">
        <f>[1]PL28_TCDN!I14</f>
        <v>0</v>
      </c>
      <c r="F14" s="769">
        <f>[1]PL28_TCDN!J14</f>
        <v>6022.2627929999999</v>
      </c>
      <c r="G14" s="770">
        <f t="shared" si="1"/>
        <v>-361.71279299999969</v>
      </c>
      <c r="H14" s="770">
        <f t="shared" si="4"/>
        <v>0</v>
      </c>
      <c r="I14" s="770">
        <v>1000</v>
      </c>
      <c r="J14" s="770"/>
      <c r="K14" s="770">
        <v>1000</v>
      </c>
      <c r="L14" s="770">
        <f t="shared" si="2"/>
        <v>0</v>
      </c>
      <c r="M14" s="770">
        <f t="shared" si="3"/>
        <v>0</v>
      </c>
    </row>
    <row r="15" spans="1:16" s="771" customFormat="1" ht="15.75">
      <c r="A15" s="783">
        <v>5</v>
      </c>
      <c r="B15" s="784" t="s">
        <v>1136</v>
      </c>
      <c r="C15" s="770">
        <f>[1]PL28_TCDN!C15</f>
        <v>5525.6823629999999</v>
      </c>
      <c r="D15" s="769">
        <f>[1]PL28_TCDN!H15</f>
        <v>8831.2624649999998</v>
      </c>
      <c r="E15" s="769">
        <f>[1]PL28_TCDN!I15</f>
        <v>0</v>
      </c>
      <c r="F15" s="769">
        <f>[1]PL28_TCDN!J15</f>
        <v>14356.944828</v>
      </c>
      <c r="G15" s="770">
        <f t="shared" si="1"/>
        <v>-5525.6823629999999</v>
      </c>
      <c r="H15" s="770">
        <f t="shared" si="4"/>
        <v>0</v>
      </c>
      <c r="I15" s="770">
        <v>0</v>
      </c>
      <c r="J15" s="770"/>
      <c r="K15" s="770">
        <v>0</v>
      </c>
      <c r="L15" s="770">
        <f t="shared" si="2"/>
        <v>0</v>
      </c>
      <c r="M15" s="770">
        <f t="shared" si="3"/>
        <v>0</v>
      </c>
    </row>
    <row r="16" spans="1:16" s="771" customFormat="1" ht="31.5">
      <c r="A16" s="783">
        <v>6</v>
      </c>
      <c r="B16" s="785" t="s">
        <v>1137</v>
      </c>
      <c r="C16" s="770">
        <f>[1]PL28_TCDN!C16</f>
        <v>586.29999999999995</v>
      </c>
      <c r="D16" s="769">
        <f>[1]PL28_TCDN!H16</f>
        <v>344.8</v>
      </c>
      <c r="E16" s="769">
        <f>[1]PL28_TCDN!I16</f>
        <v>0</v>
      </c>
      <c r="F16" s="769">
        <f>[1]PL28_TCDN!J16</f>
        <v>401.90000000000003</v>
      </c>
      <c r="G16" s="770">
        <f t="shared" si="1"/>
        <v>-57.100000000000023</v>
      </c>
      <c r="H16" s="770">
        <f t="shared" si="4"/>
        <v>529.19999999999982</v>
      </c>
      <c r="I16" s="770">
        <v>410</v>
      </c>
      <c r="J16" s="770"/>
      <c r="K16" s="770">
        <v>490</v>
      </c>
      <c r="L16" s="770">
        <f t="shared" si="2"/>
        <v>-80</v>
      </c>
      <c r="M16" s="770">
        <f t="shared" si="3"/>
        <v>449.19999999999982</v>
      </c>
    </row>
    <row r="17" spans="1:13" s="771" customFormat="1" ht="31.5">
      <c r="A17" s="783">
        <v>7</v>
      </c>
      <c r="B17" s="785" t="s">
        <v>1138</v>
      </c>
      <c r="C17" s="770">
        <f>[1]PL28_TCDN!C17</f>
        <v>144</v>
      </c>
      <c r="D17" s="769">
        <f>[1]PL28_TCDN!H17</f>
        <v>310</v>
      </c>
      <c r="E17" s="769">
        <f>[1]PL28_TCDN!I17</f>
        <v>0</v>
      </c>
      <c r="F17" s="769">
        <f>[1]PL28_TCDN!J17</f>
        <v>300</v>
      </c>
      <c r="G17" s="770">
        <f t="shared" si="1"/>
        <v>10</v>
      </c>
      <c r="H17" s="770">
        <f t="shared" si="4"/>
        <v>154</v>
      </c>
      <c r="I17" s="770">
        <v>400</v>
      </c>
      <c r="J17" s="770"/>
      <c r="K17" s="770">
        <v>400</v>
      </c>
      <c r="L17" s="770">
        <f t="shared" si="2"/>
        <v>0</v>
      </c>
      <c r="M17" s="770">
        <f t="shared" si="3"/>
        <v>154</v>
      </c>
    </row>
    <row r="18" spans="1:13" s="771" customFormat="1" ht="31.5">
      <c r="A18" s="783">
        <v>8</v>
      </c>
      <c r="B18" s="785" t="s">
        <v>1139</v>
      </c>
      <c r="C18" s="770">
        <f>[1]PL28_TCDN!C18</f>
        <v>0</v>
      </c>
      <c r="D18" s="769">
        <f>[1]PL28_TCDN!H18</f>
        <v>0</v>
      </c>
      <c r="E18" s="769">
        <f>[1]PL28_TCDN!I18</f>
        <v>0</v>
      </c>
      <c r="F18" s="769">
        <f>[1]PL28_TCDN!J18</f>
        <v>0</v>
      </c>
      <c r="G18" s="770">
        <f t="shared" si="1"/>
        <v>0</v>
      </c>
      <c r="H18" s="770">
        <f t="shared" si="4"/>
        <v>0</v>
      </c>
      <c r="I18" s="770"/>
      <c r="J18" s="770"/>
      <c r="K18" s="770"/>
      <c r="L18" s="770">
        <f t="shared" si="2"/>
        <v>0</v>
      </c>
      <c r="M18" s="770">
        <f t="shared" si="3"/>
        <v>0</v>
      </c>
    </row>
    <row r="19" spans="1:13" s="771" customFormat="1" ht="15.75">
      <c r="A19" s="783">
        <v>9</v>
      </c>
      <c r="B19" s="784" t="s">
        <v>1140</v>
      </c>
      <c r="C19" s="770">
        <f>[1]PL28_TCDN!C19</f>
        <v>708</v>
      </c>
      <c r="D19" s="769">
        <f>[1]PL28_TCDN!H19</f>
        <v>10</v>
      </c>
      <c r="E19" s="769">
        <f>[1]PL28_TCDN!I19</f>
        <v>0</v>
      </c>
      <c r="F19" s="769">
        <f>[1]PL28_TCDN!J19</f>
        <v>68.099999999999994</v>
      </c>
      <c r="G19" s="770">
        <f t="shared" si="1"/>
        <v>-58.099999999999994</v>
      </c>
      <c r="H19" s="770">
        <f t="shared" si="4"/>
        <v>649.9</v>
      </c>
      <c r="I19" s="770">
        <v>120</v>
      </c>
      <c r="J19" s="770"/>
      <c r="K19" s="770">
        <v>300</v>
      </c>
      <c r="L19" s="770">
        <f t="shared" si="2"/>
        <v>-180</v>
      </c>
      <c r="M19" s="770">
        <f t="shared" si="3"/>
        <v>469.9</v>
      </c>
    </row>
    <row r="20" spans="1:13" s="771" customFormat="1" ht="15.75">
      <c r="A20" s="783">
        <v>10</v>
      </c>
      <c r="B20" s="784" t="s">
        <v>1141</v>
      </c>
      <c r="C20" s="770">
        <f>[1]PL28_TCDN!C20</f>
        <v>3799.5438690000001</v>
      </c>
      <c r="D20" s="769">
        <f>[1]PL28_TCDN!H20</f>
        <v>1613.2990129999998</v>
      </c>
      <c r="E20" s="769">
        <f>[1]PL28_TCDN!I20</f>
        <v>0</v>
      </c>
      <c r="F20" s="769">
        <f>[1]PL28_TCDN!J20</f>
        <v>1050</v>
      </c>
      <c r="G20" s="770">
        <f t="shared" si="1"/>
        <v>563.29901299999983</v>
      </c>
      <c r="H20" s="770">
        <f t="shared" si="4"/>
        <v>4362.8428819999999</v>
      </c>
      <c r="I20" s="770">
        <v>2023</v>
      </c>
      <c r="J20" s="770"/>
      <c r="K20" s="770">
        <v>0</v>
      </c>
      <c r="L20" s="770">
        <f t="shared" si="2"/>
        <v>2023</v>
      </c>
      <c r="M20" s="770">
        <f t="shared" si="3"/>
        <v>6385.8428819999999</v>
      </c>
    </row>
    <row r="21" spans="1:13" s="771" customFormat="1" ht="15.75">
      <c r="A21" s="783">
        <v>11</v>
      </c>
      <c r="B21" s="784" t="s">
        <v>1142</v>
      </c>
      <c r="C21" s="770">
        <f>[1]PL28_TCDN!C21</f>
        <v>209</v>
      </c>
      <c r="D21" s="769">
        <f>[1]PL28_TCDN!H21</f>
        <v>61</v>
      </c>
      <c r="E21" s="769">
        <f>[1]PL28_TCDN!I21</f>
        <v>0</v>
      </c>
      <c r="F21" s="769">
        <f>[1]PL28_TCDN!J21</f>
        <v>8.5</v>
      </c>
      <c r="G21" s="770">
        <f t="shared" si="1"/>
        <v>52.5</v>
      </c>
      <c r="H21" s="770">
        <f t="shared" si="4"/>
        <v>261.5</v>
      </c>
      <c r="I21" s="770">
        <v>70</v>
      </c>
      <c r="J21" s="770"/>
      <c r="K21" s="770">
        <v>50</v>
      </c>
      <c r="L21" s="770">
        <f t="shared" si="2"/>
        <v>20</v>
      </c>
      <c r="M21" s="770">
        <f t="shared" si="3"/>
        <v>281.5</v>
      </c>
    </row>
    <row r="22" spans="1:13" s="771" customFormat="1" ht="15.75">
      <c r="A22" s="783">
        <v>12</v>
      </c>
      <c r="B22" s="784" t="s">
        <v>1143</v>
      </c>
      <c r="C22" s="770">
        <f>[1]PL28_TCDN!C22</f>
        <v>8.0050000000000008</v>
      </c>
      <c r="D22" s="769">
        <f>[1]PL28_TCDN!H22</f>
        <v>355.01573000000002</v>
      </c>
      <c r="E22" s="769">
        <f>[1]PL28_TCDN!I22</f>
        <v>0</v>
      </c>
      <c r="F22" s="769">
        <f>[1]PL28_TCDN!J22</f>
        <v>355.29700000000003</v>
      </c>
      <c r="G22" s="770">
        <f t="shared" si="1"/>
        <v>-0.28127000000000635</v>
      </c>
      <c r="H22" s="770">
        <f t="shared" si="4"/>
        <v>7.7237299999999891</v>
      </c>
      <c r="I22" s="770">
        <v>1000</v>
      </c>
      <c r="J22" s="770"/>
      <c r="K22" s="770">
        <v>1000</v>
      </c>
      <c r="L22" s="770">
        <f t="shared" si="2"/>
        <v>0</v>
      </c>
      <c r="M22" s="770">
        <f t="shared" si="3"/>
        <v>7.7237299999999323</v>
      </c>
    </row>
    <row r="23" spans="1:13" s="771" customFormat="1" ht="15.75">
      <c r="A23" s="783">
        <v>13</v>
      </c>
      <c r="B23" s="784" t="s">
        <v>1144</v>
      </c>
      <c r="C23" s="770">
        <f>[1]PL28_TCDN!C23</f>
        <v>156</v>
      </c>
      <c r="D23" s="769">
        <f>[1]PL28_TCDN!H23</f>
        <v>0</v>
      </c>
      <c r="E23" s="769">
        <f>[1]PL28_TCDN!I23</f>
        <v>0</v>
      </c>
      <c r="F23" s="769">
        <f>[1]PL28_TCDN!J23</f>
        <v>0</v>
      </c>
      <c r="G23" s="770">
        <f t="shared" si="1"/>
        <v>0</v>
      </c>
      <c r="H23" s="770">
        <f t="shared" si="4"/>
        <v>156</v>
      </c>
      <c r="I23" s="770">
        <v>0</v>
      </c>
      <c r="J23" s="770"/>
      <c r="K23" s="770">
        <v>0</v>
      </c>
      <c r="L23" s="770">
        <f t="shared" si="2"/>
        <v>0</v>
      </c>
      <c r="M23" s="770">
        <f t="shared" si="3"/>
        <v>156</v>
      </c>
    </row>
    <row r="24" spans="1:13" s="771" customFormat="1" ht="15.75">
      <c r="A24" s="783">
        <v>14</v>
      </c>
      <c r="B24" s="784" t="s">
        <v>1145</v>
      </c>
      <c r="C24" s="770">
        <f>[1]PL28_TCDN!C24</f>
        <v>1489.765877</v>
      </c>
      <c r="D24" s="769">
        <f>[1]PL28_TCDN!H24</f>
        <v>10</v>
      </c>
      <c r="E24" s="769">
        <f>[1]PL28_TCDN!I24</f>
        <v>0</v>
      </c>
      <c r="F24" s="769">
        <f>[1]PL28_TCDN!J24</f>
        <v>1.2</v>
      </c>
      <c r="G24" s="770">
        <f t="shared" si="1"/>
        <v>8.8000000000000007</v>
      </c>
      <c r="H24" s="770">
        <f t="shared" si="4"/>
        <v>1498.565877</v>
      </c>
      <c r="I24" s="770">
        <v>10</v>
      </c>
      <c r="J24" s="770"/>
      <c r="K24" s="770">
        <v>1</v>
      </c>
      <c r="L24" s="770">
        <f t="shared" si="2"/>
        <v>9</v>
      </c>
      <c r="M24" s="770">
        <f t="shared" si="3"/>
        <v>1507.565877</v>
      </c>
    </row>
    <row r="25" spans="1:13" s="771" customFormat="1" ht="15.75">
      <c r="A25" s="783">
        <v>15</v>
      </c>
      <c r="B25" s="784" t="s">
        <v>1146</v>
      </c>
      <c r="C25" s="770">
        <f>[1]PL28_TCDN!C25</f>
        <v>9234</v>
      </c>
      <c r="D25" s="769">
        <f>[1]PL28_TCDN!H25</f>
        <v>1380</v>
      </c>
      <c r="E25" s="769">
        <f>[1]PL28_TCDN!I25</f>
        <v>0</v>
      </c>
      <c r="F25" s="769">
        <f>[1]PL28_TCDN!J25</f>
        <v>1380</v>
      </c>
      <c r="G25" s="770">
        <f t="shared" si="1"/>
        <v>0</v>
      </c>
      <c r="H25" s="770">
        <f t="shared" si="4"/>
        <v>9234</v>
      </c>
      <c r="I25" s="770">
        <v>9780</v>
      </c>
      <c r="J25" s="770">
        <v>5000</v>
      </c>
      <c r="K25" s="770">
        <v>9780</v>
      </c>
      <c r="L25" s="770">
        <f t="shared" si="2"/>
        <v>0</v>
      </c>
      <c r="M25" s="770">
        <f t="shared" si="3"/>
        <v>9234</v>
      </c>
    </row>
    <row r="26" spans="1:13" s="771" customFormat="1" ht="31.5">
      <c r="A26" s="783">
        <v>16</v>
      </c>
      <c r="B26" s="785" t="s">
        <v>1147</v>
      </c>
      <c r="C26" s="770">
        <f>[1]PL28_TCDN!C26</f>
        <v>4987</v>
      </c>
      <c r="D26" s="769">
        <f>[1]PL28_TCDN!H26</f>
        <v>950</v>
      </c>
      <c r="E26" s="769">
        <f>[1]PL28_TCDN!I26</f>
        <v>0</v>
      </c>
      <c r="F26" s="769">
        <f>[1]PL28_TCDN!J26</f>
        <v>920</v>
      </c>
      <c r="G26" s="770">
        <f t="shared" si="1"/>
        <v>30</v>
      </c>
      <c r="H26" s="770">
        <f t="shared" si="4"/>
        <v>5017</v>
      </c>
      <c r="I26" s="770">
        <v>1450</v>
      </c>
      <c r="J26" s="770"/>
      <c r="K26" s="770">
        <v>3790</v>
      </c>
      <c r="L26" s="770">
        <f t="shared" si="2"/>
        <v>-2340</v>
      </c>
      <c r="M26" s="770">
        <f t="shared" si="3"/>
        <v>2677</v>
      </c>
    </row>
    <row r="27" spans="1:13" s="771" customFormat="1" ht="31.5">
      <c r="A27" s="783">
        <v>17</v>
      </c>
      <c r="B27" s="785" t="s">
        <v>1148</v>
      </c>
      <c r="C27" s="770">
        <f>[1]PL28_TCDN!C27</f>
        <v>2900</v>
      </c>
      <c r="D27" s="769">
        <f>[1]PL28_TCDN!H27</f>
        <v>0</v>
      </c>
      <c r="E27" s="769">
        <f>[1]PL28_TCDN!I27</f>
        <v>0</v>
      </c>
      <c r="F27" s="769">
        <f>[1]PL28_TCDN!J27</f>
        <v>0</v>
      </c>
      <c r="G27" s="770">
        <f t="shared" si="1"/>
        <v>0</v>
      </c>
      <c r="H27" s="770">
        <f t="shared" si="4"/>
        <v>2900</v>
      </c>
      <c r="I27" s="770">
        <v>0</v>
      </c>
      <c r="J27" s="770"/>
      <c r="K27" s="770">
        <v>0</v>
      </c>
      <c r="L27" s="770">
        <f t="shared" si="2"/>
        <v>0</v>
      </c>
      <c r="M27" s="770">
        <f t="shared" si="3"/>
        <v>2900</v>
      </c>
    </row>
    <row r="28" spans="1:13" s="771" customFormat="1" ht="15.75">
      <c r="A28" s="774"/>
      <c r="B28" s="774"/>
      <c r="C28" s="774"/>
      <c r="D28" s="774"/>
      <c r="E28" s="774"/>
      <c r="F28" s="774"/>
      <c r="G28" s="774"/>
      <c r="H28" s="774"/>
      <c r="I28" s="774"/>
      <c r="J28" s="774"/>
      <c r="K28" s="774"/>
      <c r="L28" s="774"/>
      <c r="M28" s="774"/>
    </row>
  </sheetData>
  <mergeCells count="19">
    <mergeCell ref="A2:M2"/>
    <mergeCell ref="A3:M3"/>
    <mergeCell ref="A5:A8"/>
    <mergeCell ref="B5:B8"/>
    <mergeCell ref="C5:C8"/>
    <mergeCell ref="D5:G5"/>
    <mergeCell ref="H5:H8"/>
    <mergeCell ref="I5:L5"/>
    <mergeCell ref="M5:M8"/>
    <mergeCell ref="D6:E6"/>
    <mergeCell ref="F6:F8"/>
    <mergeCell ref="G6:G8"/>
    <mergeCell ref="I6:J6"/>
    <mergeCell ref="K6:K8"/>
    <mergeCell ref="L6:L8"/>
    <mergeCell ref="D7:D8"/>
    <mergeCell ref="E7:E8"/>
    <mergeCell ref="I7:I8"/>
    <mergeCell ref="J7:J8"/>
  </mergeCells>
  <printOptions horizontalCentered="1"/>
  <pageMargins left="0.27" right="0.33" top="0.41" bottom="0.63" header="0.24" footer="0.35"/>
  <pageSetup paperSize="9" scale="59" orientation="portrait" r:id="rId1"/>
  <headerFooter>
    <oddFooter>&amp;C&amp;P/&amp;N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M150"/>
  <sheetViews>
    <sheetView topLeftCell="A4" zoomScale="78" zoomScaleNormal="78" workbookViewId="0">
      <pane xSplit="3" ySplit="8" topLeftCell="D116" activePane="bottomRight" state="frozen"/>
      <selection activeCell="A4" sqref="A4"/>
      <selection pane="topRight" activeCell="D4" sqref="D4"/>
      <selection pane="bottomLeft" activeCell="A12" sqref="A12"/>
      <selection pane="bottomRight" activeCell="N146" sqref="N146"/>
    </sheetView>
  </sheetViews>
  <sheetFormatPr defaultColWidth="7.85546875" defaultRowHeight="12.75" outlineLevelCol="1"/>
  <cols>
    <col min="1" max="1" width="4.42578125" style="831" customWidth="1"/>
    <col min="2" max="2" width="37.140625" style="831" customWidth="1"/>
    <col min="3" max="3" width="8.5703125" style="831" hidden="1" customWidth="1" outlineLevel="1"/>
    <col min="4" max="4" width="9" style="882" customWidth="1" collapsed="1"/>
    <col min="5" max="5" width="6.85546875" style="883" customWidth="1"/>
    <col min="6" max="6" width="13.5703125" style="883" customWidth="1"/>
    <col min="7" max="7" width="13.42578125" style="831" customWidth="1"/>
    <col min="8" max="8" width="9.5703125" style="831" customWidth="1"/>
    <col min="9" max="9" width="11.5703125" style="831" customWidth="1"/>
    <col min="10" max="10" width="12.42578125" style="831" customWidth="1"/>
    <col min="11" max="11" width="11.5703125" style="831" customWidth="1"/>
    <col min="12" max="12" width="9.28515625" style="831" customWidth="1"/>
    <col min="13" max="13" width="11.28515625" style="831" customWidth="1"/>
    <col min="14" max="15" width="11.5703125" style="831" customWidth="1"/>
    <col min="16" max="16" width="8.5703125" style="831" customWidth="1"/>
    <col min="17" max="17" width="10.7109375" style="831" customWidth="1"/>
    <col min="18" max="18" width="11.28515625" style="831" customWidth="1"/>
    <col min="19" max="19" width="11.42578125" style="831" customWidth="1"/>
    <col min="20" max="20" width="9" style="831" customWidth="1"/>
    <col min="21" max="21" width="12" style="831" customWidth="1"/>
    <col min="22" max="22" width="10.85546875" style="831" customWidth="1"/>
    <col min="23" max="23" width="7.85546875" style="831"/>
    <col min="24" max="24" width="8.7109375" style="831" bestFit="1" customWidth="1"/>
    <col min="25" max="256" width="7.85546875" style="831"/>
    <col min="257" max="257" width="4.42578125" style="831" customWidth="1"/>
    <col min="258" max="258" width="37.140625" style="831" customWidth="1"/>
    <col min="259" max="259" width="0" style="831" hidden="1" customWidth="1"/>
    <col min="260" max="260" width="9" style="831" customWidth="1"/>
    <col min="261" max="261" width="6.85546875" style="831" customWidth="1"/>
    <col min="262" max="262" width="10.85546875" style="831" customWidth="1"/>
    <col min="263" max="263" width="11.5703125" style="831" customWidth="1"/>
    <col min="264" max="264" width="9.5703125" style="831" customWidth="1"/>
    <col min="265" max="265" width="11.5703125" style="831" customWidth="1"/>
    <col min="266" max="266" width="12.42578125" style="831" customWidth="1"/>
    <col min="267" max="267" width="11.5703125" style="831" customWidth="1"/>
    <col min="268" max="268" width="9.28515625" style="831" customWidth="1"/>
    <col min="269" max="269" width="11.28515625" style="831" customWidth="1"/>
    <col min="270" max="270" width="9.7109375" style="831" customWidth="1"/>
    <col min="271" max="271" width="11.5703125" style="831" customWidth="1"/>
    <col min="272" max="272" width="8.5703125" style="831" customWidth="1"/>
    <col min="273" max="273" width="10.7109375" style="831" customWidth="1"/>
    <col min="274" max="274" width="9" style="831" customWidth="1"/>
    <col min="275" max="275" width="11.42578125" style="831" customWidth="1"/>
    <col min="276" max="276" width="9" style="831" customWidth="1"/>
    <col min="277" max="277" width="10.140625" style="831" customWidth="1"/>
    <col min="278" max="278" width="10.85546875" style="831" customWidth="1"/>
    <col min="279" max="512" width="7.85546875" style="831"/>
    <col min="513" max="513" width="4.42578125" style="831" customWidth="1"/>
    <col min="514" max="514" width="37.140625" style="831" customWidth="1"/>
    <col min="515" max="515" width="0" style="831" hidden="1" customWidth="1"/>
    <col min="516" max="516" width="9" style="831" customWidth="1"/>
    <col min="517" max="517" width="6.85546875" style="831" customWidth="1"/>
    <col min="518" max="518" width="10.85546875" style="831" customWidth="1"/>
    <col min="519" max="519" width="11.5703125" style="831" customWidth="1"/>
    <col min="520" max="520" width="9.5703125" style="831" customWidth="1"/>
    <col min="521" max="521" width="11.5703125" style="831" customWidth="1"/>
    <col min="522" max="522" width="12.42578125" style="831" customWidth="1"/>
    <col min="523" max="523" width="11.5703125" style="831" customWidth="1"/>
    <col min="524" max="524" width="9.28515625" style="831" customWidth="1"/>
    <col min="525" max="525" width="11.28515625" style="831" customWidth="1"/>
    <col min="526" max="526" width="9.7109375" style="831" customWidth="1"/>
    <col min="527" max="527" width="11.5703125" style="831" customWidth="1"/>
    <col min="528" max="528" width="8.5703125" style="831" customWidth="1"/>
    <col min="529" max="529" width="10.7109375" style="831" customWidth="1"/>
    <col min="530" max="530" width="9" style="831" customWidth="1"/>
    <col min="531" max="531" width="11.42578125" style="831" customWidth="1"/>
    <col min="532" max="532" width="9" style="831" customWidth="1"/>
    <col min="533" max="533" width="10.140625" style="831" customWidth="1"/>
    <col min="534" max="534" width="10.85546875" style="831" customWidth="1"/>
    <col min="535" max="768" width="7.85546875" style="831"/>
    <col min="769" max="769" width="4.42578125" style="831" customWidth="1"/>
    <col min="770" max="770" width="37.140625" style="831" customWidth="1"/>
    <col min="771" max="771" width="0" style="831" hidden="1" customWidth="1"/>
    <col min="772" max="772" width="9" style="831" customWidth="1"/>
    <col min="773" max="773" width="6.85546875" style="831" customWidth="1"/>
    <col min="774" max="774" width="10.85546875" style="831" customWidth="1"/>
    <col min="775" max="775" width="11.5703125" style="831" customWidth="1"/>
    <col min="776" max="776" width="9.5703125" style="831" customWidth="1"/>
    <col min="777" max="777" width="11.5703125" style="831" customWidth="1"/>
    <col min="778" max="778" width="12.42578125" style="831" customWidth="1"/>
    <col min="779" max="779" width="11.5703125" style="831" customWidth="1"/>
    <col min="780" max="780" width="9.28515625" style="831" customWidth="1"/>
    <col min="781" max="781" width="11.28515625" style="831" customWidth="1"/>
    <col min="782" max="782" width="9.7109375" style="831" customWidth="1"/>
    <col min="783" max="783" width="11.5703125" style="831" customWidth="1"/>
    <col min="784" max="784" width="8.5703125" style="831" customWidth="1"/>
    <col min="785" max="785" width="10.7109375" style="831" customWidth="1"/>
    <col min="786" max="786" width="9" style="831" customWidth="1"/>
    <col min="787" max="787" width="11.42578125" style="831" customWidth="1"/>
    <col min="788" max="788" width="9" style="831" customWidth="1"/>
    <col min="789" max="789" width="10.140625" style="831" customWidth="1"/>
    <col min="790" max="790" width="10.85546875" style="831" customWidth="1"/>
    <col min="791" max="1024" width="7.85546875" style="831"/>
    <col min="1025" max="1025" width="4.42578125" style="831" customWidth="1"/>
    <col min="1026" max="1026" width="37.140625" style="831" customWidth="1"/>
    <col min="1027" max="1027" width="0" style="831" hidden="1" customWidth="1"/>
    <col min="1028" max="1028" width="9" style="831" customWidth="1"/>
    <col min="1029" max="1029" width="6.85546875" style="831" customWidth="1"/>
    <col min="1030" max="1030" width="10.85546875" style="831" customWidth="1"/>
    <col min="1031" max="1031" width="11.5703125" style="831" customWidth="1"/>
    <col min="1032" max="1032" width="9.5703125" style="831" customWidth="1"/>
    <col min="1033" max="1033" width="11.5703125" style="831" customWidth="1"/>
    <col min="1034" max="1034" width="12.42578125" style="831" customWidth="1"/>
    <col min="1035" max="1035" width="11.5703125" style="831" customWidth="1"/>
    <col min="1036" max="1036" width="9.28515625" style="831" customWidth="1"/>
    <col min="1037" max="1037" width="11.28515625" style="831" customWidth="1"/>
    <col min="1038" max="1038" width="9.7109375" style="831" customWidth="1"/>
    <col min="1039" max="1039" width="11.5703125" style="831" customWidth="1"/>
    <col min="1040" max="1040" width="8.5703125" style="831" customWidth="1"/>
    <col min="1041" max="1041" width="10.7109375" style="831" customWidth="1"/>
    <col min="1042" max="1042" width="9" style="831" customWidth="1"/>
    <col min="1043" max="1043" width="11.42578125" style="831" customWidth="1"/>
    <col min="1044" max="1044" width="9" style="831" customWidth="1"/>
    <col min="1045" max="1045" width="10.140625" style="831" customWidth="1"/>
    <col min="1046" max="1046" width="10.85546875" style="831" customWidth="1"/>
    <col min="1047" max="1280" width="7.85546875" style="831"/>
    <col min="1281" max="1281" width="4.42578125" style="831" customWidth="1"/>
    <col min="1282" max="1282" width="37.140625" style="831" customWidth="1"/>
    <col min="1283" max="1283" width="0" style="831" hidden="1" customWidth="1"/>
    <col min="1284" max="1284" width="9" style="831" customWidth="1"/>
    <col min="1285" max="1285" width="6.85546875" style="831" customWidth="1"/>
    <col min="1286" max="1286" width="10.85546875" style="831" customWidth="1"/>
    <col min="1287" max="1287" width="11.5703125" style="831" customWidth="1"/>
    <col min="1288" max="1288" width="9.5703125" style="831" customWidth="1"/>
    <col min="1289" max="1289" width="11.5703125" style="831" customWidth="1"/>
    <col min="1290" max="1290" width="12.42578125" style="831" customWidth="1"/>
    <col min="1291" max="1291" width="11.5703125" style="831" customWidth="1"/>
    <col min="1292" max="1292" width="9.28515625" style="831" customWidth="1"/>
    <col min="1293" max="1293" width="11.28515625" style="831" customWidth="1"/>
    <col min="1294" max="1294" width="9.7109375" style="831" customWidth="1"/>
    <col min="1295" max="1295" width="11.5703125" style="831" customWidth="1"/>
    <col min="1296" max="1296" width="8.5703125" style="831" customWidth="1"/>
    <col min="1297" max="1297" width="10.7109375" style="831" customWidth="1"/>
    <col min="1298" max="1298" width="9" style="831" customWidth="1"/>
    <col min="1299" max="1299" width="11.42578125" style="831" customWidth="1"/>
    <col min="1300" max="1300" width="9" style="831" customWidth="1"/>
    <col min="1301" max="1301" width="10.140625" style="831" customWidth="1"/>
    <col min="1302" max="1302" width="10.85546875" style="831" customWidth="1"/>
    <col min="1303" max="1536" width="7.85546875" style="831"/>
    <col min="1537" max="1537" width="4.42578125" style="831" customWidth="1"/>
    <col min="1538" max="1538" width="37.140625" style="831" customWidth="1"/>
    <col min="1539" max="1539" width="0" style="831" hidden="1" customWidth="1"/>
    <col min="1540" max="1540" width="9" style="831" customWidth="1"/>
    <col min="1541" max="1541" width="6.85546875" style="831" customWidth="1"/>
    <col min="1542" max="1542" width="10.85546875" style="831" customWidth="1"/>
    <col min="1543" max="1543" width="11.5703125" style="831" customWidth="1"/>
    <col min="1544" max="1544" width="9.5703125" style="831" customWidth="1"/>
    <col min="1545" max="1545" width="11.5703125" style="831" customWidth="1"/>
    <col min="1546" max="1546" width="12.42578125" style="831" customWidth="1"/>
    <col min="1547" max="1547" width="11.5703125" style="831" customWidth="1"/>
    <col min="1548" max="1548" width="9.28515625" style="831" customWidth="1"/>
    <col min="1549" max="1549" width="11.28515625" style="831" customWidth="1"/>
    <col min="1550" max="1550" width="9.7109375" style="831" customWidth="1"/>
    <col min="1551" max="1551" width="11.5703125" style="831" customWidth="1"/>
    <col min="1552" max="1552" width="8.5703125" style="831" customWidth="1"/>
    <col min="1553" max="1553" width="10.7109375" style="831" customWidth="1"/>
    <col min="1554" max="1554" width="9" style="831" customWidth="1"/>
    <col min="1555" max="1555" width="11.42578125" style="831" customWidth="1"/>
    <col min="1556" max="1556" width="9" style="831" customWidth="1"/>
    <col min="1557" max="1557" width="10.140625" style="831" customWidth="1"/>
    <col min="1558" max="1558" width="10.85546875" style="831" customWidth="1"/>
    <col min="1559" max="1792" width="7.85546875" style="831"/>
    <col min="1793" max="1793" width="4.42578125" style="831" customWidth="1"/>
    <col min="1794" max="1794" width="37.140625" style="831" customWidth="1"/>
    <col min="1795" max="1795" width="0" style="831" hidden="1" customWidth="1"/>
    <col min="1796" max="1796" width="9" style="831" customWidth="1"/>
    <col min="1797" max="1797" width="6.85546875" style="831" customWidth="1"/>
    <col min="1798" max="1798" width="10.85546875" style="831" customWidth="1"/>
    <col min="1799" max="1799" width="11.5703125" style="831" customWidth="1"/>
    <col min="1800" max="1800" width="9.5703125" style="831" customWidth="1"/>
    <col min="1801" max="1801" width="11.5703125" style="831" customWidth="1"/>
    <col min="1802" max="1802" width="12.42578125" style="831" customWidth="1"/>
    <col min="1803" max="1803" width="11.5703125" style="831" customWidth="1"/>
    <col min="1804" max="1804" width="9.28515625" style="831" customWidth="1"/>
    <col min="1805" max="1805" width="11.28515625" style="831" customWidth="1"/>
    <col min="1806" max="1806" width="9.7109375" style="831" customWidth="1"/>
    <col min="1807" max="1807" width="11.5703125" style="831" customWidth="1"/>
    <col min="1808" max="1808" width="8.5703125" style="831" customWidth="1"/>
    <col min="1809" max="1809" width="10.7109375" style="831" customWidth="1"/>
    <col min="1810" max="1810" width="9" style="831" customWidth="1"/>
    <col min="1811" max="1811" width="11.42578125" style="831" customWidth="1"/>
    <col min="1812" max="1812" width="9" style="831" customWidth="1"/>
    <col min="1813" max="1813" width="10.140625" style="831" customWidth="1"/>
    <col min="1814" max="1814" width="10.85546875" style="831" customWidth="1"/>
    <col min="1815" max="2048" width="7.85546875" style="831"/>
    <col min="2049" max="2049" width="4.42578125" style="831" customWidth="1"/>
    <col min="2050" max="2050" width="37.140625" style="831" customWidth="1"/>
    <col min="2051" max="2051" width="0" style="831" hidden="1" customWidth="1"/>
    <col min="2052" max="2052" width="9" style="831" customWidth="1"/>
    <col min="2053" max="2053" width="6.85546875" style="831" customWidth="1"/>
    <col min="2054" max="2054" width="10.85546875" style="831" customWidth="1"/>
    <col min="2055" max="2055" width="11.5703125" style="831" customWidth="1"/>
    <col min="2056" max="2056" width="9.5703125" style="831" customWidth="1"/>
    <col min="2057" max="2057" width="11.5703125" style="831" customWidth="1"/>
    <col min="2058" max="2058" width="12.42578125" style="831" customWidth="1"/>
    <col min="2059" max="2059" width="11.5703125" style="831" customWidth="1"/>
    <col min="2060" max="2060" width="9.28515625" style="831" customWidth="1"/>
    <col min="2061" max="2061" width="11.28515625" style="831" customWidth="1"/>
    <col min="2062" max="2062" width="9.7109375" style="831" customWidth="1"/>
    <col min="2063" max="2063" width="11.5703125" style="831" customWidth="1"/>
    <col min="2064" max="2064" width="8.5703125" style="831" customWidth="1"/>
    <col min="2065" max="2065" width="10.7109375" style="831" customWidth="1"/>
    <col min="2066" max="2066" width="9" style="831" customWidth="1"/>
    <col min="2067" max="2067" width="11.42578125" style="831" customWidth="1"/>
    <col min="2068" max="2068" width="9" style="831" customWidth="1"/>
    <col min="2069" max="2069" width="10.140625" style="831" customWidth="1"/>
    <col min="2070" max="2070" width="10.85546875" style="831" customWidth="1"/>
    <col min="2071" max="2304" width="7.85546875" style="831"/>
    <col min="2305" max="2305" width="4.42578125" style="831" customWidth="1"/>
    <col min="2306" max="2306" width="37.140625" style="831" customWidth="1"/>
    <col min="2307" max="2307" width="0" style="831" hidden="1" customWidth="1"/>
    <col min="2308" max="2308" width="9" style="831" customWidth="1"/>
    <col min="2309" max="2309" width="6.85546875" style="831" customWidth="1"/>
    <col min="2310" max="2310" width="10.85546875" style="831" customWidth="1"/>
    <col min="2311" max="2311" width="11.5703125" style="831" customWidth="1"/>
    <col min="2312" max="2312" width="9.5703125" style="831" customWidth="1"/>
    <col min="2313" max="2313" width="11.5703125" style="831" customWidth="1"/>
    <col min="2314" max="2314" width="12.42578125" style="831" customWidth="1"/>
    <col min="2315" max="2315" width="11.5703125" style="831" customWidth="1"/>
    <col min="2316" max="2316" width="9.28515625" style="831" customWidth="1"/>
    <col min="2317" max="2317" width="11.28515625" style="831" customWidth="1"/>
    <col min="2318" max="2318" width="9.7109375" style="831" customWidth="1"/>
    <col min="2319" max="2319" width="11.5703125" style="831" customWidth="1"/>
    <col min="2320" max="2320" width="8.5703125" style="831" customWidth="1"/>
    <col min="2321" max="2321" width="10.7109375" style="831" customWidth="1"/>
    <col min="2322" max="2322" width="9" style="831" customWidth="1"/>
    <col min="2323" max="2323" width="11.42578125" style="831" customWidth="1"/>
    <col min="2324" max="2324" width="9" style="831" customWidth="1"/>
    <col min="2325" max="2325" width="10.140625" style="831" customWidth="1"/>
    <col min="2326" max="2326" width="10.85546875" style="831" customWidth="1"/>
    <col min="2327" max="2560" width="7.85546875" style="831"/>
    <col min="2561" max="2561" width="4.42578125" style="831" customWidth="1"/>
    <col min="2562" max="2562" width="37.140625" style="831" customWidth="1"/>
    <col min="2563" max="2563" width="0" style="831" hidden="1" customWidth="1"/>
    <col min="2564" max="2564" width="9" style="831" customWidth="1"/>
    <col min="2565" max="2565" width="6.85546875" style="831" customWidth="1"/>
    <col min="2566" max="2566" width="10.85546875" style="831" customWidth="1"/>
    <col min="2567" max="2567" width="11.5703125" style="831" customWidth="1"/>
    <col min="2568" max="2568" width="9.5703125" style="831" customWidth="1"/>
    <col min="2569" max="2569" width="11.5703125" style="831" customWidth="1"/>
    <col min="2570" max="2570" width="12.42578125" style="831" customWidth="1"/>
    <col min="2571" max="2571" width="11.5703125" style="831" customWidth="1"/>
    <col min="2572" max="2572" width="9.28515625" style="831" customWidth="1"/>
    <col min="2573" max="2573" width="11.28515625" style="831" customWidth="1"/>
    <col min="2574" max="2574" width="9.7109375" style="831" customWidth="1"/>
    <col min="2575" max="2575" width="11.5703125" style="831" customWidth="1"/>
    <col min="2576" max="2576" width="8.5703125" style="831" customWidth="1"/>
    <col min="2577" max="2577" width="10.7109375" style="831" customWidth="1"/>
    <col min="2578" max="2578" width="9" style="831" customWidth="1"/>
    <col min="2579" max="2579" width="11.42578125" style="831" customWidth="1"/>
    <col min="2580" max="2580" width="9" style="831" customWidth="1"/>
    <col min="2581" max="2581" width="10.140625" style="831" customWidth="1"/>
    <col min="2582" max="2582" width="10.85546875" style="831" customWidth="1"/>
    <col min="2583" max="2816" width="7.85546875" style="831"/>
    <col min="2817" max="2817" width="4.42578125" style="831" customWidth="1"/>
    <col min="2818" max="2818" width="37.140625" style="831" customWidth="1"/>
    <col min="2819" max="2819" width="0" style="831" hidden="1" customWidth="1"/>
    <col min="2820" max="2820" width="9" style="831" customWidth="1"/>
    <col min="2821" max="2821" width="6.85546875" style="831" customWidth="1"/>
    <col min="2822" max="2822" width="10.85546875" style="831" customWidth="1"/>
    <col min="2823" max="2823" width="11.5703125" style="831" customWidth="1"/>
    <col min="2824" max="2824" width="9.5703125" style="831" customWidth="1"/>
    <col min="2825" max="2825" width="11.5703125" style="831" customWidth="1"/>
    <col min="2826" max="2826" width="12.42578125" style="831" customWidth="1"/>
    <col min="2827" max="2827" width="11.5703125" style="831" customWidth="1"/>
    <col min="2828" max="2828" width="9.28515625" style="831" customWidth="1"/>
    <col min="2829" max="2829" width="11.28515625" style="831" customWidth="1"/>
    <col min="2830" max="2830" width="9.7109375" style="831" customWidth="1"/>
    <col min="2831" max="2831" width="11.5703125" style="831" customWidth="1"/>
    <col min="2832" max="2832" width="8.5703125" style="831" customWidth="1"/>
    <col min="2833" max="2833" width="10.7109375" style="831" customWidth="1"/>
    <col min="2834" max="2834" width="9" style="831" customWidth="1"/>
    <col min="2835" max="2835" width="11.42578125" style="831" customWidth="1"/>
    <col min="2836" max="2836" width="9" style="831" customWidth="1"/>
    <col min="2837" max="2837" width="10.140625" style="831" customWidth="1"/>
    <col min="2838" max="2838" width="10.85546875" style="831" customWidth="1"/>
    <col min="2839" max="3072" width="7.85546875" style="831"/>
    <col min="3073" max="3073" width="4.42578125" style="831" customWidth="1"/>
    <col min="3074" max="3074" width="37.140625" style="831" customWidth="1"/>
    <col min="3075" max="3075" width="0" style="831" hidden="1" customWidth="1"/>
    <col min="3076" max="3076" width="9" style="831" customWidth="1"/>
    <col min="3077" max="3077" width="6.85546875" style="831" customWidth="1"/>
    <col min="3078" max="3078" width="10.85546875" style="831" customWidth="1"/>
    <col min="3079" max="3079" width="11.5703125" style="831" customWidth="1"/>
    <col min="3080" max="3080" width="9.5703125" style="831" customWidth="1"/>
    <col min="3081" max="3081" width="11.5703125" style="831" customWidth="1"/>
    <col min="3082" max="3082" width="12.42578125" style="831" customWidth="1"/>
    <col min="3083" max="3083" width="11.5703125" style="831" customWidth="1"/>
    <col min="3084" max="3084" width="9.28515625" style="831" customWidth="1"/>
    <col min="3085" max="3085" width="11.28515625" style="831" customWidth="1"/>
    <col min="3086" max="3086" width="9.7109375" style="831" customWidth="1"/>
    <col min="3087" max="3087" width="11.5703125" style="831" customWidth="1"/>
    <col min="3088" max="3088" width="8.5703125" style="831" customWidth="1"/>
    <col min="3089" max="3089" width="10.7109375" style="831" customWidth="1"/>
    <col min="3090" max="3090" width="9" style="831" customWidth="1"/>
    <col min="3091" max="3091" width="11.42578125" style="831" customWidth="1"/>
    <col min="3092" max="3092" width="9" style="831" customWidth="1"/>
    <col min="3093" max="3093" width="10.140625" style="831" customWidth="1"/>
    <col min="3094" max="3094" width="10.85546875" style="831" customWidth="1"/>
    <col min="3095" max="3328" width="7.85546875" style="831"/>
    <col min="3329" max="3329" width="4.42578125" style="831" customWidth="1"/>
    <col min="3330" max="3330" width="37.140625" style="831" customWidth="1"/>
    <col min="3331" max="3331" width="0" style="831" hidden="1" customWidth="1"/>
    <col min="3332" max="3332" width="9" style="831" customWidth="1"/>
    <col min="3333" max="3333" width="6.85546875" style="831" customWidth="1"/>
    <col min="3334" max="3334" width="10.85546875" style="831" customWidth="1"/>
    <col min="3335" max="3335" width="11.5703125" style="831" customWidth="1"/>
    <col min="3336" max="3336" width="9.5703125" style="831" customWidth="1"/>
    <col min="3337" max="3337" width="11.5703125" style="831" customWidth="1"/>
    <col min="3338" max="3338" width="12.42578125" style="831" customWidth="1"/>
    <col min="3339" max="3339" width="11.5703125" style="831" customWidth="1"/>
    <col min="3340" max="3340" width="9.28515625" style="831" customWidth="1"/>
    <col min="3341" max="3341" width="11.28515625" style="831" customWidth="1"/>
    <col min="3342" max="3342" width="9.7109375" style="831" customWidth="1"/>
    <col min="3343" max="3343" width="11.5703125" style="831" customWidth="1"/>
    <col min="3344" max="3344" width="8.5703125" style="831" customWidth="1"/>
    <col min="3345" max="3345" width="10.7109375" style="831" customWidth="1"/>
    <col min="3346" max="3346" width="9" style="831" customWidth="1"/>
    <col min="3347" max="3347" width="11.42578125" style="831" customWidth="1"/>
    <col min="3348" max="3348" width="9" style="831" customWidth="1"/>
    <col min="3349" max="3349" width="10.140625" style="831" customWidth="1"/>
    <col min="3350" max="3350" width="10.85546875" style="831" customWidth="1"/>
    <col min="3351" max="3584" width="7.85546875" style="831"/>
    <col min="3585" max="3585" width="4.42578125" style="831" customWidth="1"/>
    <col min="3586" max="3586" width="37.140625" style="831" customWidth="1"/>
    <col min="3587" max="3587" width="0" style="831" hidden="1" customWidth="1"/>
    <col min="3588" max="3588" width="9" style="831" customWidth="1"/>
    <col min="3589" max="3589" width="6.85546875" style="831" customWidth="1"/>
    <col min="3590" max="3590" width="10.85546875" style="831" customWidth="1"/>
    <col min="3591" max="3591" width="11.5703125" style="831" customWidth="1"/>
    <col min="3592" max="3592" width="9.5703125" style="831" customWidth="1"/>
    <col min="3593" max="3593" width="11.5703125" style="831" customWidth="1"/>
    <col min="3594" max="3594" width="12.42578125" style="831" customWidth="1"/>
    <col min="3595" max="3595" width="11.5703125" style="831" customWidth="1"/>
    <col min="3596" max="3596" width="9.28515625" style="831" customWidth="1"/>
    <col min="3597" max="3597" width="11.28515625" style="831" customWidth="1"/>
    <col min="3598" max="3598" width="9.7109375" style="831" customWidth="1"/>
    <col min="3599" max="3599" width="11.5703125" style="831" customWidth="1"/>
    <col min="3600" max="3600" width="8.5703125" style="831" customWidth="1"/>
    <col min="3601" max="3601" width="10.7109375" style="831" customWidth="1"/>
    <col min="3602" max="3602" width="9" style="831" customWidth="1"/>
    <col min="3603" max="3603" width="11.42578125" style="831" customWidth="1"/>
    <col min="3604" max="3604" width="9" style="831" customWidth="1"/>
    <col min="3605" max="3605" width="10.140625" style="831" customWidth="1"/>
    <col min="3606" max="3606" width="10.85546875" style="831" customWidth="1"/>
    <col min="3607" max="3840" width="7.85546875" style="831"/>
    <col min="3841" max="3841" width="4.42578125" style="831" customWidth="1"/>
    <col min="3842" max="3842" width="37.140625" style="831" customWidth="1"/>
    <col min="3843" max="3843" width="0" style="831" hidden="1" customWidth="1"/>
    <col min="3844" max="3844" width="9" style="831" customWidth="1"/>
    <col min="3845" max="3845" width="6.85546875" style="831" customWidth="1"/>
    <col min="3846" max="3846" width="10.85546875" style="831" customWidth="1"/>
    <col min="3847" max="3847" width="11.5703125" style="831" customWidth="1"/>
    <col min="3848" max="3848" width="9.5703125" style="831" customWidth="1"/>
    <col min="3849" max="3849" width="11.5703125" style="831" customWidth="1"/>
    <col min="3850" max="3850" width="12.42578125" style="831" customWidth="1"/>
    <col min="3851" max="3851" width="11.5703125" style="831" customWidth="1"/>
    <col min="3852" max="3852" width="9.28515625" style="831" customWidth="1"/>
    <col min="3853" max="3853" width="11.28515625" style="831" customWidth="1"/>
    <col min="3854" max="3854" width="9.7109375" style="831" customWidth="1"/>
    <col min="3855" max="3855" width="11.5703125" style="831" customWidth="1"/>
    <col min="3856" max="3856" width="8.5703125" style="831" customWidth="1"/>
    <col min="3857" max="3857" width="10.7109375" style="831" customWidth="1"/>
    <col min="3858" max="3858" width="9" style="831" customWidth="1"/>
    <col min="3859" max="3859" width="11.42578125" style="831" customWidth="1"/>
    <col min="3860" max="3860" width="9" style="831" customWidth="1"/>
    <col min="3861" max="3861" width="10.140625" style="831" customWidth="1"/>
    <col min="3862" max="3862" width="10.85546875" style="831" customWidth="1"/>
    <col min="3863" max="4096" width="7.85546875" style="831"/>
    <col min="4097" max="4097" width="4.42578125" style="831" customWidth="1"/>
    <col min="4098" max="4098" width="37.140625" style="831" customWidth="1"/>
    <col min="4099" max="4099" width="0" style="831" hidden="1" customWidth="1"/>
    <col min="4100" max="4100" width="9" style="831" customWidth="1"/>
    <col min="4101" max="4101" width="6.85546875" style="831" customWidth="1"/>
    <col min="4102" max="4102" width="10.85546875" style="831" customWidth="1"/>
    <col min="4103" max="4103" width="11.5703125" style="831" customWidth="1"/>
    <col min="4104" max="4104" width="9.5703125" style="831" customWidth="1"/>
    <col min="4105" max="4105" width="11.5703125" style="831" customWidth="1"/>
    <col min="4106" max="4106" width="12.42578125" style="831" customWidth="1"/>
    <col min="4107" max="4107" width="11.5703125" style="831" customWidth="1"/>
    <col min="4108" max="4108" width="9.28515625" style="831" customWidth="1"/>
    <col min="4109" max="4109" width="11.28515625" style="831" customWidth="1"/>
    <col min="4110" max="4110" width="9.7109375" style="831" customWidth="1"/>
    <col min="4111" max="4111" width="11.5703125" style="831" customWidth="1"/>
    <col min="4112" max="4112" width="8.5703125" style="831" customWidth="1"/>
    <col min="4113" max="4113" width="10.7109375" style="831" customWidth="1"/>
    <col min="4114" max="4114" width="9" style="831" customWidth="1"/>
    <col min="4115" max="4115" width="11.42578125" style="831" customWidth="1"/>
    <col min="4116" max="4116" width="9" style="831" customWidth="1"/>
    <col min="4117" max="4117" width="10.140625" style="831" customWidth="1"/>
    <col min="4118" max="4118" width="10.85546875" style="831" customWidth="1"/>
    <col min="4119" max="4352" width="7.85546875" style="831"/>
    <col min="4353" max="4353" width="4.42578125" style="831" customWidth="1"/>
    <col min="4354" max="4354" width="37.140625" style="831" customWidth="1"/>
    <col min="4355" max="4355" width="0" style="831" hidden="1" customWidth="1"/>
    <col min="4356" max="4356" width="9" style="831" customWidth="1"/>
    <col min="4357" max="4357" width="6.85546875" style="831" customWidth="1"/>
    <col min="4358" max="4358" width="10.85546875" style="831" customWidth="1"/>
    <col min="4359" max="4359" width="11.5703125" style="831" customWidth="1"/>
    <col min="4360" max="4360" width="9.5703125" style="831" customWidth="1"/>
    <col min="4361" max="4361" width="11.5703125" style="831" customWidth="1"/>
    <col min="4362" max="4362" width="12.42578125" style="831" customWidth="1"/>
    <col min="4363" max="4363" width="11.5703125" style="831" customWidth="1"/>
    <col min="4364" max="4364" width="9.28515625" style="831" customWidth="1"/>
    <col min="4365" max="4365" width="11.28515625" style="831" customWidth="1"/>
    <col min="4366" max="4366" width="9.7109375" style="831" customWidth="1"/>
    <col min="4367" max="4367" width="11.5703125" style="831" customWidth="1"/>
    <col min="4368" max="4368" width="8.5703125" style="831" customWidth="1"/>
    <col min="4369" max="4369" width="10.7109375" style="831" customWidth="1"/>
    <col min="4370" max="4370" width="9" style="831" customWidth="1"/>
    <col min="4371" max="4371" width="11.42578125" style="831" customWidth="1"/>
    <col min="4372" max="4372" width="9" style="831" customWidth="1"/>
    <col min="4373" max="4373" width="10.140625" style="831" customWidth="1"/>
    <col min="4374" max="4374" width="10.85546875" style="831" customWidth="1"/>
    <col min="4375" max="4608" width="7.85546875" style="831"/>
    <col min="4609" max="4609" width="4.42578125" style="831" customWidth="1"/>
    <col min="4610" max="4610" width="37.140625" style="831" customWidth="1"/>
    <col min="4611" max="4611" width="0" style="831" hidden="1" customWidth="1"/>
    <col min="4612" max="4612" width="9" style="831" customWidth="1"/>
    <col min="4613" max="4613" width="6.85546875" style="831" customWidth="1"/>
    <col min="4614" max="4614" width="10.85546875" style="831" customWidth="1"/>
    <col min="4615" max="4615" width="11.5703125" style="831" customWidth="1"/>
    <col min="4616" max="4616" width="9.5703125" style="831" customWidth="1"/>
    <col min="4617" max="4617" width="11.5703125" style="831" customWidth="1"/>
    <col min="4618" max="4618" width="12.42578125" style="831" customWidth="1"/>
    <col min="4619" max="4619" width="11.5703125" style="831" customWidth="1"/>
    <col min="4620" max="4620" width="9.28515625" style="831" customWidth="1"/>
    <col min="4621" max="4621" width="11.28515625" style="831" customWidth="1"/>
    <col min="4622" max="4622" width="9.7109375" style="831" customWidth="1"/>
    <col min="4623" max="4623" width="11.5703125" style="831" customWidth="1"/>
    <col min="4624" max="4624" width="8.5703125" style="831" customWidth="1"/>
    <col min="4625" max="4625" width="10.7109375" style="831" customWidth="1"/>
    <col min="4626" max="4626" width="9" style="831" customWidth="1"/>
    <col min="4627" max="4627" width="11.42578125" style="831" customWidth="1"/>
    <col min="4628" max="4628" width="9" style="831" customWidth="1"/>
    <col min="4629" max="4629" width="10.140625" style="831" customWidth="1"/>
    <col min="4630" max="4630" width="10.85546875" style="831" customWidth="1"/>
    <col min="4631" max="4864" width="7.85546875" style="831"/>
    <col min="4865" max="4865" width="4.42578125" style="831" customWidth="1"/>
    <col min="4866" max="4866" width="37.140625" style="831" customWidth="1"/>
    <col min="4867" max="4867" width="0" style="831" hidden="1" customWidth="1"/>
    <col min="4868" max="4868" width="9" style="831" customWidth="1"/>
    <col min="4869" max="4869" width="6.85546875" style="831" customWidth="1"/>
    <col min="4870" max="4870" width="10.85546875" style="831" customWidth="1"/>
    <col min="4871" max="4871" width="11.5703125" style="831" customWidth="1"/>
    <col min="4872" max="4872" width="9.5703125" style="831" customWidth="1"/>
    <col min="4873" max="4873" width="11.5703125" style="831" customWidth="1"/>
    <col min="4874" max="4874" width="12.42578125" style="831" customWidth="1"/>
    <col min="4875" max="4875" width="11.5703125" style="831" customWidth="1"/>
    <col min="4876" max="4876" width="9.28515625" style="831" customWidth="1"/>
    <col min="4877" max="4877" width="11.28515625" style="831" customWidth="1"/>
    <col min="4878" max="4878" width="9.7109375" style="831" customWidth="1"/>
    <col min="4879" max="4879" width="11.5703125" style="831" customWidth="1"/>
    <col min="4880" max="4880" width="8.5703125" style="831" customWidth="1"/>
    <col min="4881" max="4881" width="10.7109375" style="831" customWidth="1"/>
    <col min="4882" max="4882" width="9" style="831" customWidth="1"/>
    <col min="4883" max="4883" width="11.42578125" style="831" customWidth="1"/>
    <col min="4884" max="4884" width="9" style="831" customWidth="1"/>
    <col min="4885" max="4885" width="10.140625" style="831" customWidth="1"/>
    <col min="4886" max="4886" width="10.85546875" style="831" customWidth="1"/>
    <col min="4887" max="5120" width="7.85546875" style="831"/>
    <col min="5121" max="5121" width="4.42578125" style="831" customWidth="1"/>
    <col min="5122" max="5122" width="37.140625" style="831" customWidth="1"/>
    <col min="5123" max="5123" width="0" style="831" hidden="1" customWidth="1"/>
    <col min="5124" max="5124" width="9" style="831" customWidth="1"/>
    <col min="5125" max="5125" width="6.85546875" style="831" customWidth="1"/>
    <col min="5126" max="5126" width="10.85546875" style="831" customWidth="1"/>
    <col min="5127" max="5127" width="11.5703125" style="831" customWidth="1"/>
    <col min="5128" max="5128" width="9.5703125" style="831" customWidth="1"/>
    <col min="5129" max="5129" width="11.5703125" style="831" customWidth="1"/>
    <col min="5130" max="5130" width="12.42578125" style="831" customWidth="1"/>
    <col min="5131" max="5131" width="11.5703125" style="831" customWidth="1"/>
    <col min="5132" max="5132" width="9.28515625" style="831" customWidth="1"/>
    <col min="5133" max="5133" width="11.28515625" style="831" customWidth="1"/>
    <col min="5134" max="5134" width="9.7109375" style="831" customWidth="1"/>
    <col min="5135" max="5135" width="11.5703125" style="831" customWidth="1"/>
    <col min="5136" max="5136" width="8.5703125" style="831" customWidth="1"/>
    <col min="5137" max="5137" width="10.7109375" style="831" customWidth="1"/>
    <col min="5138" max="5138" width="9" style="831" customWidth="1"/>
    <col min="5139" max="5139" width="11.42578125" style="831" customWidth="1"/>
    <col min="5140" max="5140" width="9" style="831" customWidth="1"/>
    <col min="5141" max="5141" width="10.140625" style="831" customWidth="1"/>
    <col min="5142" max="5142" width="10.85546875" style="831" customWidth="1"/>
    <col min="5143" max="5376" width="7.85546875" style="831"/>
    <col min="5377" max="5377" width="4.42578125" style="831" customWidth="1"/>
    <col min="5378" max="5378" width="37.140625" style="831" customWidth="1"/>
    <col min="5379" max="5379" width="0" style="831" hidden="1" customWidth="1"/>
    <col min="5380" max="5380" width="9" style="831" customWidth="1"/>
    <col min="5381" max="5381" width="6.85546875" style="831" customWidth="1"/>
    <col min="5382" max="5382" width="10.85546875" style="831" customWidth="1"/>
    <col min="5383" max="5383" width="11.5703125" style="831" customWidth="1"/>
    <col min="5384" max="5384" width="9.5703125" style="831" customWidth="1"/>
    <col min="5385" max="5385" width="11.5703125" style="831" customWidth="1"/>
    <col min="5386" max="5386" width="12.42578125" style="831" customWidth="1"/>
    <col min="5387" max="5387" width="11.5703125" style="831" customWidth="1"/>
    <col min="5388" max="5388" width="9.28515625" style="831" customWidth="1"/>
    <col min="5389" max="5389" width="11.28515625" style="831" customWidth="1"/>
    <col min="5390" max="5390" width="9.7109375" style="831" customWidth="1"/>
    <col min="5391" max="5391" width="11.5703125" style="831" customWidth="1"/>
    <col min="5392" max="5392" width="8.5703125" style="831" customWidth="1"/>
    <col min="5393" max="5393" width="10.7109375" style="831" customWidth="1"/>
    <col min="5394" max="5394" width="9" style="831" customWidth="1"/>
    <col min="5395" max="5395" width="11.42578125" style="831" customWidth="1"/>
    <col min="5396" max="5396" width="9" style="831" customWidth="1"/>
    <col min="5397" max="5397" width="10.140625" style="831" customWidth="1"/>
    <col min="5398" max="5398" width="10.85546875" style="831" customWidth="1"/>
    <col min="5399" max="5632" width="7.85546875" style="831"/>
    <col min="5633" max="5633" width="4.42578125" style="831" customWidth="1"/>
    <col min="5634" max="5634" width="37.140625" style="831" customWidth="1"/>
    <col min="5635" max="5635" width="0" style="831" hidden="1" customWidth="1"/>
    <col min="5636" max="5636" width="9" style="831" customWidth="1"/>
    <col min="5637" max="5637" width="6.85546875" style="831" customWidth="1"/>
    <col min="5638" max="5638" width="10.85546875" style="831" customWidth="1"/>
    <col min="5639" max="5639" width="11.5703125" style="831" customWidth="1"/>
    <col min="5640" max="5640" width="9.5703125" style="831" customWidth="1"/>
    <col min="5641" max="5641" width="11.5703125" style="831" customWidth="1"/>
    <col min="5642" max="5642" width="12.42578125" style="831" customWidth="1"/>
    <col min="5643" max="5643" width="11.5703125" style="831" customWidth="1"/>
    <col min="5644" max="5644" width="9.28515625" style="831" customWidth="1"/>
    <col min="5645" max="5645" width="11.28515625" style="831" customWidth="1"/>
    <col min="5646" max="5646" width="9.7109375" style="831" customWidth="1"/>
    <col min="5647" max="5647" width="11.5703125" style="831" customWidth="1"/>
    <col min="5648" max="5648" width="8.5703125" style="831" customWidth="1"/>
    <col min="5649" max="5649" width="10.7109375" style="831" customWidth="1"/>
    <col min="5650" max="5650" width="9" style="831" customWidth="1"/>
    <col min="5651" max="5651" width="11.42578125" style="831" customWidth="1"/>
    <col min="5652" max="5652" width="9" style="831" customWidth="1"/>
    <col min="5653" max="5653" width="10.140625" style="831" customWidth="1"/>
    <col min="5654" max="5654" width="10.85546875" style="831" customWidth="1"/>
    <col min="5655" max="5888" width="7.85546875" style="831"/>
    <col min="5889" max="5889" width="4.42578125" style="831" customWidth="1"/>
    <col min="5890" max="5890" width="37.140625" style="831" customWidth="1"/>
    <col min="5891" max="5891" width="0" style="831" hidden="1" customWidth="1"/>
    <col min="5892" max="5892" width="9" style="831" customWidth="1"/>
    <col min="5893" max="5893" width="6.85546875" style="831" customWidth="1"/>
    <col min="5894" max="5894" width="10.85546875" style="831" customWidth="1"/>
    <col min="5895" max="5895" width="11.5703125" style="831" customWidth="1"/>
    <col min="5896" max="5896" width="9.5703125" style="831" customWidth="1"/>
    <col min="5897" max="5897" width="11.5703125" style="831" customWidth="1"/>
    <col min="5898" max="5898" width="12.42578125" style="831" customWidth="1"/>
    <col min="5899" max="5899" width="11.5703125" style="831" customWidth="1"/>
    <col min="5900" max="5900" width="9.28515625" style="831" customWidth="1"/>
    <col min="5901" max="5901" width="11.28515625" style="831" customWidth="1"/>
    <col min="5902" max="5902" width="9.7109375" style="831" customWidth="1"/>
    <col min="5903" max="5903" width="11.5703125" style="831" customWidth="1"/>
    <col min="5904" max="5904" width="8.5703125" style="831" customWidth="1"/>
    <col min="5905" max="5905" width="10.7109375" style="831" customWidth="1"/>
    <col min="5906" max="5906" width="9" style="831" customWidth="1"/>
    <col min="5907" max="5907" width="11.42578125" style="831" customWidth="1"/>
    <col min="5908" max="5908" width="9" style="831" customWidth="1"/>
    <col min="5909" max="5909" width="10.140625" style="831" customWidth="1"/>
    <col min="5910" max="5910" width="10.85546875" style="831" customWidth="1"/>
    <col min="5911" max="6144" width="7.85546875" style="831"/>
    <col min="6145" max="6145" width="4.42578125" style="831" customWidth="1"/>
    <col min="6146" max="6146" width="37.140625" style="831" customWidth="1"/>
    <col min="6147" max="6147" width="0" style="831" hidden="1" customWidth="1"/>
    <col min="6148" max="6148" width="9" style="831" customWidth="1"/>
    <col min="6149" max="6149" width="6.85546875" style="831" customWidth="1"/>
    <col min="6150" max="6150" width="10.85546875" style="831" customWidth="1"/>
    <col min="6151" max="6151" width="11.5703125" style="831" customWidth="1"/>
    <col min="6152" max="6152" width="9.5703125" style="831" customWidth="1"/>
    <col min="6153" max="6153" width="11.5703125" style="831" customWidth="1"/>
    <col min="6154" max="6154" width="12.42578125" style="831" customWidth="1"/>
    <col min="6155" max="6155" width="11.5703125" style="831" customWidth="1"/>
    <col min="6156" max="6156" width="9.28515625" style="831" customWidth="1"/>
    <col min="6157" max="6157" width="11.28515625" style="831" customWidth="1"/>
    <col min="6158" max="6158" width="9.7109375" style="831" customWidth="1"/>
    <col min="6159" max="6159" width="11.5703125" style="831" customWidth="1"/>
    <col min="6160" max="6160" width="8.5703125" style="831" customWidth="1"/>
    <col min="6161" max="6161" width="10.7109375" style="831" customWidth="1"/>
    <col min="6162" max="6162" width="9" style="831" customWidth="1"/>
    <col min="6163" max="6163" width="11.42578125" style="831" customWidth="1"/>
    <col min="6164" max="6164" width="9" style="831" customWidth="1"/>
    <col min="6165" max="6165" width="10.140625" style="831" customWidth="1"/>
    <col min="6166" max="6166" width="10.85546875" style="831" customWidth="1"/>
    <col min="6167" max="6400" width="7.85546875" style="831"/>
    <col min="6401" max="6401" width="4.42578125" style="831" customWidth="1"/>
    <col min="6402" max="6402" width="37.140625" style="831" customWidth="1"/>
    <col min="6403" max="6403" width="0" style="831" hidden="1" customWidth="1"/>
    <col min="6404" max="6404" width="9" style="831" customWidth="1"/>
    <col min="6405" max="6405" width="6.85546875" style="831" customWidth="1"/>
    <col min="6406" max="6406" width="10.85546875" style="831" customWidth="1"/>
    <col min="6407" max="6407" width="11.5703125" style="831" customWidth="1"/>
    <col min="6408" max="6408" width="9.5703125" style="831" customWidth="1"/>
    <col min="6409" max="6409" width="11.5703125" style="831" customWidth="1"/>
    <col min="6410" max="6410" width="12.42578125" style="831" customWidth="1"/>
    <col min="6411" max="6411" width="11.5703125" style="831" customWidth="1"/>
    <col min="6412" max="6412" width="9.28515625" style="831" customWidth="1"/>
    <col min="6413" max="6413" width="11.28515625" style="831" customWidth="1"/>
    <col min="6414" max="6414" width="9.7109375" style="831" customWidth="1"/>
    <col min="6415" max="6415" width="11.5703125" style="831" customWidth="1"/>
    <col min="6416" max="6416" width="8.5703125" style="831" customWidth="1"/>
    <col min="6417" max="6417" width="10.7109375" style="831" customWidth="1"/>
    <col min="6418" max="6418" width="9" style="831" customWidth="1"/>
    <col min="6419" max="6419" width="11.42578125" style="831" customWidth="1"/>
    <col min="6420" max="6420" width="9" style="831" customWidth="1"/>
    <col min="6421" max="6421" width="10.140625" style="831" customWidth="1"/>
    <col min="6422" max="6422" width="10.85546875" style="831" customWidth="1"/>
    <col min="6423" max="6656" width="7.85546875" style="831"/>
    <col min="6657" max="6657" width="4.42578125" style="831" customWidth="1"/>
    <col min="6658" max="6658" width="37.140625" style="831" customWidth="1"/>
    <col min="6659" max="6659" width="0" style="831" hidden="1" customWidth="1"/>
    <col min="6660" max="6660" width="9" style="831" customWidth="1"/>
    <col min="6661" max="6661" width="6.85546875" style="831" customWidth="1"/>
    <col min="6662" max="6662" width="10.85546875" style="831" customWidth="1"/>
    <col min="6663" max="6663" width="11.5703125" style="831" customWidth="1"/>
    <col min="6664" max="6664" width="9.5703125" style="831" customWidth="1"/>
    <col min="6665" max="6665" width="11.5703125" style="831" customWidth="1"/>
    <col min="6666" max="6666" width="12.42578125" style="831" customWidth="1"/>
    <col min="6667" max="6667" width="11.5703125" style="831" customWidth="1"/>
    <col min="6668" max="6668" width="9.28515625" style="831" customWidth="1"/>
    <col min="6669" max="6669" width="11.28515625" style="831" customWidth="1"/>
    <col min="6670" max="6670" width="9.7109375" style="831" customWidth="1"/>
    <col min="6671" max="6671" width="11.5703125" style="831" customWidth="1"/>
    <col min="6672" max="6672" width="8.5703125" style="831" customWidth="1"/>
    <col min="6673" max="6673" width="10.7109375" style="831" customWidth="1"/>
    <col min="6674" max="6674" width="9" style="831" customWidth="1"/>
    <col min="6675" max="6675" width="11.42578125" style="831" customWidth="1"/>
    <col min="6676" max="6676" width="9" style="831" customWidth="1"/>
    <col min="6677" max="6677" width="10.140625" style="831" customWidth="1"/>
    <col min="6678" max="6678" width="10.85546875" style="831" customWidth="1"/>
    <col min="6679" max="6912" width="7.85546875" style="831"/>
    <col min="6913" max="6913" width="4.42578125" style="831" customWidth="1"/>
    <col min="6914" max="6914" width="37.140625" style="831" customWidth="1"/>
    <col min="6915" max="6915" width="0" style="831" hidden="1" customWidth="1"/>
    <col min="6916" max="6916" width="9" style="831" customWidth="1"/>
    <col min="6917" max="6917" width="6.85546875" style="831" customWidth="1"/>
    <col min="6918" max="6918" width="10.85546875" style="831" customWidth="1"/>
    <col min="6919" max="6919" width="11.5703125" style="831" customWidth="1"/>
    <col min="6920" max="6920" width="9.5703125" style="831" customWidth="1"/>
    <col min="6921" max="6921" width="11.5703125" style="831" customWidth="1"/>
    <col min="6922" max="6922" width="12.42578125" style="831" customWidth="1"/>
    <col min="6923" max="6923" width="11.5703125" style="831" customWidth="1"/>
    <col min="6924" max="6924" width="9.28515625" style="831" customWidth="1"/>
    <col min="6925" max="6925" width="11.28515625" style="831" customWidth="1"/>
    <col min="6926" max="6926" width="9.7109375" style="831" customWidth="1"/>
    <col min="6927" max="6927" width="11.5703125" style="831" customWidth="1"/>
    <col min="6928" max="6928" width="8.5703125" style="831" customWidth="1"/>
    <col min="6929" max="6929" width="10.7109375" style="831" customWidth="1"/>
    <col min="6930" max="6930" width="9" style="831" customWidth="1"/>
    <col min="6931" max="6931" width="11.42578125" style="831" customWidth="1"/>
    <col min="6932" max="6932" width="9" style="831" customWidth="1"/>
    <col min="6933" max="6933" width="10.140625" style="831" customWidth="1"/>
    <col min="6934" max="6934" width="10.85546875" style="831" customWidth="1"/>
    <col min="6935" max="7168" width="7.85546875" style="831"/>
    <col min="7169" max="7169" width="4.42578125" style="831" customWidth="1"/>
    <col min="7170" max="7170" width="37.140625" style="831" customWidth="1"/>
    <col min="7171" max="7171" width="0" style="831" hidden="1" customWidth="1"/>
    <col min="7172" max="7172" width="9" style="831" customWidth="1"/>
    <col min="7173" max="7173" width="6.85546875" style="831" customWidth="1"/>
    <col min="7174" max="7174" width="10.85546875" style="831" customWidth="1"/>
    <col min="7175" max="7175" width="11.5703125" style="831" customWidth="1"/>
    <col min="7176" max="7176" width="9.5703125" style="831" customWidth="1"/>
    <col min="7177" max="7177" width="11.5703125" style="831" customWidth="1"/>
    <col min="7178" max="7178" width="12.42578125" style="831" customWidth="1"/>
    <col min="7179" max="7179" width="11.5703125" style="831" customWidth="1"/>
    <col min="7180" max="7180" width="9.28515625" style="831" customWidth="1"/>
    <col min="7181" max="7181" width="11.28515625" style="831" customWidth="1"/>
    <col min="7182" max="7182" width="9.7109375" style="831" customWidth="1"/>
    <col min="7183" max="7183" width="11.5703125" style="831" customWidth="1"/>
    <col min="7184" max="7184" width="8.5703125" style="831" customWidth="1"/>
    <col min="7185" max="7185" width="10.7109375" style="831" customWidth="1"/>
    <col min="7186" max="7186" width="9" style="831" customWidth="1"/>
    <col min="7187" max="7187" width="11.42578125" style="831" customWidth="1"/>
    <col min="7188" max="7188" width="9" style="831" customWidth="1"/>
    <col min="7189" max="7189" width="10.140625" style="831" customWidth="1"/>
    <col min="7190" max="7190" width="10.85546875" style="831" customWidth="1"/>
    <col min="7191" max="7424" width="7.85546875" style="831"/>
    <col min="7425" max="7425" width="4.42578125" style="831" customWidth="1"/>
    <col min="7426" max="7426" width="37.140625" style="831" customWidth="1"/>
    <col min="7427" max="7427" width="0" style="831" hidden="1" customWidth="1"/>
    <col min="7428" max="7428" width="9" style="831" customWidth="1"/>
    <col min="7429" max="7429" width="6.85546875" style="831" customWidth="1"/>
    <col min="7430" max="7430" width="10.85546875" style="831" customWidth="1"/>
    <col min="7431" max="7431" width="11.5703125" style="831" customWidth="1"/>
    <col min="7432" max="7432" width="9.5703125" style="831" customWidth="1"/>
    <col min="7433" max="7433" width="11.5703125" style="831" customWidth="1"/>
    <col min="7434" max="7434" width="12.42578125" style="831" customWidth="1"/>
    <col min="7435" max="7435" width="11.5703125" style="831" customWidth="1"/>
    <col min="7436" max="7436" width="9.28515625" style="831" customWidth="1"/>
    <col min="7437" max="7437" width="11.28515625" style="831" customWidth="1"/>
    <col min="7438" max="7438" width="9.7109375" style="831" customWidth="1"/>
    <col min="7439" max="7439" width="11.5703125" style="831" customWidth="1"/>
    <col min="7440" max="7440" width="8.5703125" style="831" customWidth="1"/>
    <col min="7441" max="7441" width="10.7109375" style="831" customWidth="1"/>
    <col min="7442" max="7442" width="9" style="831" customWidth="1"/>
    <col min="7443" max="7443" width="11.42578125" style="831" customWidth="1"/>
    <col min="7444" max="7444" width="9" style="831" customWidth="1"/>
    <col min="7445" max="7445" width="10.140625" style="831" customWidth="1"/>
    <col min="7446" max="7446" width="10.85546875" style="831" customWidth="1"/>
    <col min="7447" max="7680" width="7.85546875" style="831"/>
    <col min="7681" max="7681" width="4.42578125" style="831" customWidth="1"/>
    <col min="7682" max="7682" width="37.140625" style="831" customWidth="1"/>
    <col min="7683" max="7683" width="0" style="831" hidden="1" customWidth="1"/>
    <col min="7684" max="7684" width="9" style="831" customWidth="1"/>
    <col min="7685" max="7685" width="6.85546875" style="831" customWidth="1"/>
    <col min="7686" max="7686" width="10.85546875" style="831" customWidth="1"/>
    <col min="7687" max="7687" width="11.5703125" style="831" customWidth="1"/>
    <col min="7688" max="7688" width="9.5703125" style="831" customWidth="1"/>
    <col min="7689" max="7689" width="11.5703125" style="831" customWidth="1"/>
    <col min="7690" max="7690" width="12.42578125" style="831" customWidth="1"/>
    <col min="7691" max="7691" width="11.5703125" style="831" customWidth="1"/>
    <col min="7692" max="7692" width="9.28515625" style="831" customWidth="1"/>
    <col min="7693" max="7693" width="11.28515625" style="831" customWidth="1"/>
    <col min="7694" max="7694" width="9.7109375" style="831" customWidth="1"/>
    <col min="7695" max="7695" width="11.5703125" style="831" customWidth="1"/>
    <col min="7696" max="7696" width="8.5703125" style="831" customWidth="1"/>
    <col min="7697" max="7697" width="10.7109375" style="831" customWidth="1"/>
    <col min="7698" max="7698" width="9" style="831" customWidth="1"/>
    <col min="7699" max="7699" width="11.42578125" style="831" customWidth="1"/>
    <col min="7700" max="7700" width="9" style="831" customWidth="1"/>
    <col min="7701" max="7701" width="10.140625" style="831" customWidth="1"/>
    <col min="7702" max="7702" width="10.85546875" style="831" customWidth="1"/>
    <col min="7703" max="7936" width="7.85546875" style="831"/>
    <col min="7937" max="7937" width="4.42578125" style="831" customWidth="1"/>
    <col min="7938" max="7938" width="37.140625" style="831" customWidth="1"/>
    <col min="7939" max="7939" width="0" style="831" hidden="1" customWidth="1"/>
    <col min="7940" max="7940" width="9" style="831" customWidth="1"/>
    <col min="7941" max="7941" width="6.85546875" style="831" customWidth="1"/>
    <col min="7942" max="7942" width="10.85546875" style="831" customWidth="1"/>
    <col min="7943" max="7943" width="11.5703125" style="831" customWidth="1"/>
    <col min="7944" max="7944" width="9.5703125" style="831" customWidth="1"/>
    <col min="7945" max="7945" width="11.5703125" style="831" customWidth="1"/>
    <col min="7946" max="7946" width="12.42578125" style="831" customWidth="1"/>
    <col min="7947" max="7947" width="11.5703125" style="831" customWidth="1"/>
    <col min="7948" max="7948" width="9.28515625" style="831" customWidth="1"/>
    <col min="7949" max="7949" width="11.28515625" style="831" customWidth="1"/>
    <col min="7950" max="7950" width="9.7109375" style="831" customWidth="1"/>
    <col min="7951" max="7951" width="11.5703125" style="831" customWidth="1"/>
    <col min="7952" max="7952" width="8.5703125" style="831" customWidth="1"/>
    <col min="7953" max="7953" width="10.7109375" style="831" customWidth="1"/>
    <col min="7954" max="7954" width="9" style="831" customWidth="1"/>
    <col min="7955" max="7955" width="11.42578125" style="831" customWidth="1"/>
    <col min="7956" max="7956" width="9" style="831" customWidth="1"/>
    <col min="7957" max="7957" width="10.140625" style="831" customWidth="1"/>
    <col min="7958" max="7958" width="10.85546875" style="831" customWidth="1"/>
    <col min="7959" max="8192" width="7.85546875" style="831"/>
    <col min="8193" max="8193" width="4.42578125" style="831" customWidth="1"/>
    <col min="8194" max="8194" width="37.140625" style="831" customWidth="1"/>
    <col min="8195" max="8195" width="0" style="831" hidden="1" customWidth="1"/>
    <col min="8196" max="8196" width="9" style="831" customWidth="1"/>
    <col min="8197" max="8197" width="6.85546875" style="831" customWidth="1"/>
    <col min="8198" max="8198" width="10.85546875" style="831" customWidth="1"/>
    <col min="8199" max="8199" width="11.5703125" style="831" customWidth="1"/>
    <col min="8200" max="8200" width="9.5703125" style="831" customWidth="1"/>
    <col min="8201" max="8201" width="11.5703125" style="831" customWidth="1"/>
    <col min="8202" max="8202" width="12.42578125" style="831" customWidth="1"/>
    <col min="8203" max="8203" width="11.5703125" style="831" customWidth="1"/>
    <col min="8204" max="8204" width="9.28515625" style="831" customWidth="1"/>
    <col min="8205" max="8205" width="11.28515625" style="831" customWidth="1"/>
    <col min="8206" max="8206" width="9.7109375" style="831" customWidth="1"/>
    <col min="8207" max="8207" width="11.5703125" style="831" customWidth="1"/>
    <col min="8208" max="8208" width="8.5703125" style="831" customWidth="1"/>
    <col min="8209" max="8209" width="10.7109375" style="831" customWidth="1"/>
    <col min="8210" max="8210" width="9" style="831" customWidth="1"/>
    <col min="8211" max="8211" width="11.42578125" style="831" customWidth="1"/>
    <col min="8212" max="8212" width="9" style="831" customWidth="1"/>
    <col min="8213" max="8213" width="10.140625" style="831" customWidth="1"/>
    <col min="8214" max="8214" width="10.85546875" style="831" customWidth="1"/>
    <col min="8215" max="8448" width="7.85546875" style="831"/>
    <col min="8449" max="8449" width="4.42578125" style="831" customWidth="1"/>
    <col min="8450" max="8450" width="37.140625" style="831" customWidth="1"/>
    <col min="8451" max="8451" width="0" style="831" hidden="1" customWidth="1"/>
    <col min="8452" max="8452" width="9" style="831" customWidth="1"/>
    <col min="8453" max="8453" width="6.85546875" style="831" customWidth="1"/>
    <col min="8454" max="8454" width="10.85546875" style="831" customWidth="1"/>
    <col min="8455" max="8455" width="11.5703125" style="831" customWidth="1"/>
    <col min="8456" max="8456" width="9.5703125" style="831" customWidth="1"/>
    <col min="8457" max="8457" width="11.5703125" style="831" customWidth="1"/>
    <col min="8458" max="8458" width="12.42578125" style="831" customWidth="1"/>
    <col min="8459" max="8459" width="11.5703125" style="831" customWidth="1"/>
    <col min="8460" max="8460" width="9.28515625" style="831" customWidth="1"/>
    <col min="8461" max="8461" width="11.28515625" style="831" customWidth="1"/>
    <col min="8462" max="8462" width="9.7109375" style="831" customWidth="1"/>
    <col min="8463" max="8463" width="11.5703125" style="831" customWidth="1"/>
    <col min="8464" max="8464" width="8.5703125" style="831" customWidth="1"/>
    <col min="8465" max="8465" width="10.7109375" style="831" customWidth="1"/>
    <col min="8466" max="8466" width="9" style="831" customWidth="1"/>
    <col min="8467" max="8467" width="11.42578125" style="831" customWidth="1"/>
    <col min="8468" max="8468" width="9" style="831" customWidth="1"/>
    <col min="8469" max="8469" width="10.140625" style="831" customWidth="1"/>
    <col min="8470" max="8470" width="10.85546875" style="831" customWidth="1"/>
    <col min="8471" max="8704" width="7.85546875" style="831"/>
    <col min="8705" max="8705" width="4.42578125" style="831" customWidth="1"/>
    <col min="8706" max="8706" width="37.140625" style="831" customWidth="1"/>
    <col min="8707" max="8707" width="0" style="831" hidden="1" customWidth="1"/>
    <col min="8708" max="8708" width="9" style="831" customWidth="1"/>
    <col min="8709" max="8709" width="6.85546875" style="831" customWidth="1"/>
    <col min="8710" max="8710" width="10.85546875" style="831" customWidth="1"/>
    <col min="8711" max="8711" width="11.5703125" style="831" customWidth="1"/>
    <col min="8712" max="8712" width="9.5703125" style="831" customWidth="1"/>
    <col min="8713" max="8713" width="11.5703125" style="831" customWidth="1"/>
    <col min="8714" max="8714" width="12.42578125" style="831" customWidth="1"/>
    <col min="8715" max="8715" width="11.5703125" style="831" customWidth="1"/>
    <col min="8716" max="8716" width="9.28515625" style="831" customWidth="1"/>
    <col min="8717" max="8717" width="11.28515625" style="831" customWidth="1"/>
    <col min="8718" max="8718" width="9.7109375" style="831" customWidth="1"/>
    <col min="8719" max="8719" width="11.5703125" style="831" customWidth="1"/>
    <col min="8720" max="8720" width="8.5703125" style="831" customWidth="1"/>
    <col min="8721" max="8721" width="10.7109375" style="831" customWidth="1"/>
    <col min="8722" max="8722" width="9" style="831" customWidth="1"/>
    <col min="8723" max="8723" width="11.42578125" style="831" customWidth="1"/>
    <col min="8724" max="8724" width="9" style="831" customWidth="1"/>
    <col min="8725" max="8725" width="10.140625" style="831" customWidth="1"/>
    <col min="8726" max="8726" width="10.85546875" style="831" customWidth="1"/>
    <col min="8727" max="8960" width="7.85546875" style="831"/>
    <col min="8961" max="8961" width="4.42578125" style="831" customWidth="1"/>
    <col min="8962" max="8962" width="37.140625" style="831" customWidth="1"/>
    <col min="8963" max="8963" width="0" style="831" hidden="1" customWidth="1"/>
    <col min="8964" max="8964" width="9" style="831" customWidth="1"/>
    <col min="8965" max="8965" width="6.85546875" style="831" customWidth="1"/>
    <col min="8966" max="8966" width="10.85546875" style="831" customWidth="1"/>
    <col min="8967" max="8967" width="11.5703125" style="831" customWidth="1"/>
    <col min="8968" max="8968" width="9.5703125" style="831" customWidth="1"/>
    <col min="8969" max="8969" width="11.5703125" style="831" customWidth="1"/>
    <col min="8970" max="8970" width="12.42578125" style="831" customWidth="1"/>
    <col min="8971" max="8971" width="11.5703125" style="831" customWidth="1"/>
    <col min="8972" max="8972" width="9.28515625" style="831" customWidth="1"/>
    <col min="8973" max="8973" width="11.28515625" style="831" customWidth="1"/>
    <col min="8974" max="8974" width="9.7109375" style="831" customWidth="1"/>
    <col min="8975" max="8975" width="11.5703125" style="831" customWidth="1"/>
    <col min="8976" max="8976" width="8.5703125" style="831" customWidth="1"/>
    <col min="8977" max="8977" width="10.7109375" style="831" customWidth="1"/>
    <col min="8978" max="8978" width="9" style="831" customWidth="1"/>
    <col min="8979" max="8979" width="11.42578125" style="831" customWidth="1"/>
    <col min="8980" max="8980" width="9" style="831" customWidth="1"/>
    <col min="8981" max="8981" width="10.140625" style="831" customWidth="1"/>
    <col min="8982" max="8982" width="10.85546875" style="831" customWidth="1"/>
    <col min="8983" max="9216" width="7.85546875" style="831"/>
    <col min="9217" max="9217" width="4.42578125" style="831" customWidth="1"/>
    <col min="9218" max="9218" width="37.140625" style="831" customWidth="1"/>
    <col min="9219" max="9219" width="0" style="831" hidden="1" customWidth="1"/>
    <col min="9220" max="9220" width="9" style="831" customWidth="1"/>
    <col min="9221" max="9221" width="6.85546875" style="831" customWidth="1"/>
    <col min="9222" max="9222" width="10.85546875" style="831" customWidth="1"/>
    <col min="9223" max="9223" width="11.5703125" style="831" customWidth="1"/>
    <col min="9224" max="9224" width="9.5703125" style="831" customWidth="1"/>
    <col min="9225" max="9225" width="11.5703125" style="831" customWidth="1"/>
    <col min="9226" max="9226" width="12.42578125" style="831" customWidth="1"/>
    <col min="9227" max="9227" width="11.5703125" style="831" customWidth="1"/>
    <col min="9228" max="9228" width="9.28515625" style="831" customWidth="1"/>
    <col min="9229" max="9229" width="11.28515625" style="831" customWidth="1"/>
    <col min="9230" max="9230" width="9.7109375" style="831" customWidth="1"/>
    <col min="9231" max="9231" width="11.5703125" style="831" customWidth="1"/>
    <col min="9232" max="9232" width="8.5703125" style="831" customWidth="1"/>
    <col min="9233" max="9233" width="10.7109375" style="831" customWidth="1"/>
    <col min="9234" max="9234" width="9" style="831" customWidth="1"/>
    <col min="9235" max="9235" width="11.42578125" style="831" customWidth="1"/>
    <col min="9236" max="9236" width="9" style="831" customWidth="1"/>
    <col min="9237" max="9237" width="10.140625" style="831" customWidth="1"/>
    <col min="9238" max="9238" width="10.85546875" style="831" customWidth="1"/>
    <col min="9239" max="9472" width="7.85546875" style="831"/>
    <col min="9473" max="9473" width="4.42578125" style="831" customWidth="1"/>
    <col min="9474" max="9474" width="37.140625" style="831" customWidth="1"/>
    <col min="9475" max="9475" width="0" style="831" hidden="1" customWidth="1"/>
    <col min="9476" max="9476" width="9" style="831" customWidth="1"/>
    <col min="9477" max="9477" width="6.85546875" style="831" customWidth="1"/>
    <col min="9478" max="9478" width="10.85546875" style="831" customWidth="1"/>
    <col min="9479" max="9479" width="11.5703125" style="831" customWidth="1"/>
    <col min="9480" max="9480" width="9.5703125" style="831" customWidth="1"/>
    <col min="9481" max="9481" width="11.5703125" style="831" customWidth="1"/>
    <col min="9482" max="9482" width="12.42578125" style="831" customWidth="1"/>
    <col min="9483" max="9483" width="11.5703125" style="831" customWidth="1"/>
    <col min="9484" max="9484" width="9.28515625" style="831" customWidth="1"/>
    <col min="9485" max="9485" width="11.28515625" style="831" customWidth="1"/>
    <col min="9486" max="9486" width="9.7109375" style="831" customWidth="1"/>
    <col min="9487" max="9487" width="11.5703125" style="831" customWidth="1"/>
    <col min="9488" max="9488" width="8.5703125" style="831" customWidth="1"/>
    <col min="9489" max="9489" width="10.7109375" style="831" customWidth="1"/>
    <col min="9490" max="9490" width="9" style="831" customWidth="1"/>
    <col min="9491" max="9491" width="11.42578125" style="831" customWidth="1"/>
    <col min="9492" max="9492" width="9" style="831" customWidth="1"/>
    <col min="9493" max="9493" width="10.140625" style="831" customWidth="1"/>
    <col min="9494" max="9494" width="10.85546875" style="831" customWidth="1"/>
    <col min="9495" max="9728" width="7.85546875" style="831"/>
    <col min="9729" max="9729" width="4.42578125" style="831" customWidth="1"/>
    <col min="9730" max="9730" width="37.140625" style="831" customWidth="1"/>
    <col min="9731" max="9731" width="0" style="831" hidden="1" customWidth="1"/>
    <col min="9732" max="9732" width="9" style="831" customWidth="1"/>
    <col min="9733" max="9733" width="6.85546875" style="831" customWidth="1"/>
    <col min="9734" max="9734" width="10.85546875" style="831" customWidth="1"/>
    <col min="9735" max="9735" width="11.5703125" style="831" customWidth="1"/>
    <col min="9736" max="9736" width="9.5703125" style="831" customWidth="1"/>
    <col min="9737" max="9737" width="11.5703125" style="831" customWidth="1"/>
    <col min="9738" max="9738" width="12.42578125" style="831" customWidth="1"/>
    <col min="9739" max="9739" width="11.5703125" style="831" customWidth="1"/>
    <col min="9740" max="9740" width="9.28515625" style="831" customWidth="1"/>
    <col min="9741" max="9741" width="11.28515625" style="831" customWidth="1"/>
    <col min="9742" max="9742" width="9.7109375" style="831" customWidth="1"/>
    <col min="9743" max="9743" width="11.5703125" style="831" customWidth="1"/>
    <col min="9744" max="9744" width="8.5703125" style="831" customWidth="1"/>
    <col min="9745" max="9745" width="10.7109375" style="831" customWidth="1"/>
    <col min="9746" max="9746" width="9" style="831" customWidth="1"/>
    <col min="9747" max="9747" width="11.42578125" style="831" customWidth="1"/>
    <col min="9748" max="9748" width="9" style="831" customWidth="1"/>
    <col min="9749" max="9749" width="10.140625" style="831" customWidth="1"/>
    <col min="9750" max="9750" width="10.85546875" style="831" customWidth="1"/>
    <col min="9751" max="9984" width="7.85546875" style="831"/>
    <col min="9985" max="9985" width="4.42578125" style="831" customWidth="1"/>
    <col min="9986" max="9986" width="37.140625" style="831" customWidth="1"/>
    <col min="9987" max="9987" width="0" style="831" hidden="1" customWidth="1"/>
    <col min="9988" max="9988" width="9" style="831" customWidth="1"/>
    <col min="9989" max="9989" width="6.85546875" style="831" customWidth="1"/>
    <col min="9990" max="9990" width="10.85546875" style="831" customWidth="1"/>
    <col min="9991" max="9991" width="11.5703125" style="831" customWidth="1"/>
    <col min="9992" max="9992" width="9.5703125" style="831" customWidth="1"/>
    <col min="9993" max="9993" width="11.5703125" style="831" customWidth="1"/>
    <col min="9994" max="9994" width="12.42578125" style="831" customWidth="1"/>
    <col min="9995" max="9995" width="11.5703125" style="831" customWidth="1"/>
    <col min="9996" max="9996" width="9.28515625" style="831" customWidth="1"/>
    <col min="9997" max="9997" width="11.28515625" style="831" customWidth="1"/>
    <col min="9998" max="9998" width="9.7109375" style="831" customWidth="1"/>
    <col min="9999" max="9999" width="11.5703125" style="831" customWidth="1"/>
    <col min="10000" max="10000" width="8.5703125" style="831" customWidth="1"/>
    <col min="10001" max="10001" width="10.7109375" style="831" customWidth="1"/>
    <col min="10002" max="10002" width="9" style="831" customWidth="1"/>
    <col min="10003" max="10003" width="11.42578125" style="831" customWidth="1"/>
    <col min="10004" max="10004" width="9" style="831" customWidth="1"/>
    <col min="10005" max="10005" width="10.140625" style="831" customWidth="1"/>
    <col min="10006" max="10006" width="10.85546875" style="831" customWidth="1"/>
    <col min="10007" max="10240" width="7.85546875" style="831"/>
    <col min="10241" max="10241" width="4.42578125" style="831" customWidth="1"/>
    <col min="10242" max="10242" width="37.140625" style="831" customWidth="1"/>
    <col min="10243" max="10243" width="0" style="831" hidden="1" customWidth="1"/>
    <col min="10244" max="10244" width="9" style="831" customWidth="1"/>
    <col min="10245" max="10245" width="6.85546875" style="831" customWidth="1"/>
    <col min="10246" max="10246" width="10.85546875" style="831" customWidth="1"/>
    <col min="10247" max="10247" width="11.5703125" style="831" customWidth="1"/>
    <col min="10248" max="10248" width="9.5703125" style="831" customWidth="1"/>
    <col min="10249" max="10249" width="11.5703125" style="831" customWidth="1"/>
    <col min="10250" max="10250" width="12.42578125" style="831" customWidth="1"/>
    <col min="10251" max="10251" width="11.5703125" style="831" customWidth="1"/>
    <col min="10252" max="10252" width="9.28515625" style="831" customWidth="1"/>
    <col min="10253" max="10253" width="11.28515625" style="831" customWidth="1"/>
    <col min="10254" max="10254" width="9.7109375" style="831" customWidth="1"/>
    <col min="10255" max="10255" width="11.5703125" style="831" customWidth="1"/>
    <col min="10256" max="10256" width="8.5703125" style="831" customWidth="1"/>
    <col min="10257" max="10257" width="10.7109375" style="831" customWidth="1"/>
    <col min="10258" max="10258" width="9" style="831" customWidth="1"/>
    <col min="10259" max="10259" width="11.42578125" style="831" customWidth="1"/>
    <col min="10260" max="10260" width="9" style="831" customWidth="1"/>
    <col min="10261" max="10261" width="10.140625" style="831" customWidth="1"/>
    <col min="10262" max="10262" width="10.85546875" style="831" customWidth="1"/>
    <col min="10263" max="10496" width="7.85546875" style="831"/>
    <col min="10497" max="10497" width="4.42578125" style="831" customWidth="1"/>
    <col min="10498" max="10498" width="37.140625" style="831" customWidth="1"/>
    <col min="10499" max="10499" width="0" style="831" hidden="1" customWidth="1"/>
    <col min="10500" max="10500" width="9" style="831" customWidth="1"/>
    <col min="10501" max="10501" width="6.85546875" style="831" customWidth="1"/>
    <col min="10502" max="10502" width="10.85546875" style="831" customWidth="1"/>
    <col min="10503" max="10503" width="11.5703125" style="831" customWidth="1"/>
    <col min="10504" max="10504" width="9.5703125" style="831" customWidth="1"/>
    <col min="10505" max="10505" width="11.5703125" style="831" customWidth="1"/>
    <col min="10506" max="10506" width="12.42578125" style="831" customWidth="1"/>
    <col min="10507" max="10507" width="11.5703125" style="831" customWidth="1"/>
    <col min="10508" max="10508" width="9.28515625" style="831" customWidth="1"/>
    <col min="10509" max="10509" width="11.28515625" style="831" customWidth="1"/>
    <col min="10510" max="10510" width="9.7109375" style="831" customWidth="1"/>
    <col min="10511" max="10511" width="11.5703125" style="831" customWidth="1"/>
    <col min="10512" max="10512" width="8.5703125" style="831" customWidth="1"/>
    <col min="10513" max="10513" width="10.7109375" style="831" customWidth="1"/>
    <col min="10514" max="10514" width="9" style="831" customWidth="1"/>
    <col min="10515" max="10515" width="11.42578125" style="831" customWidth="1"/>
    <col min="10516" max="10516" width="9" style="831" customWidth="1"/>
    <col min="10517" max="10517" width="10.140625" style="831" customWidth="1"/>
    <col min="10518" max="10518" width="10.85546875" style="831" customWidth="1"/>
    <col min="10519" max="10752" width="7.85546875" style="831"/>
    <col min="10753" max="10753" width="4.42578125" style="831" customWidth="1"/>
    <col min="10754" max="10754" width="37.140625" style="831" customWidth="1"/>
    <col min="10755" max="10755" width="0" style="831" hidden="1" customWidth="1"/>
    <col min="10756" max="10756" width="9" style="831" customWidth="1"/>
    <col min="10757" max="10757" width="6.85546875" style="831" customWidth="1"/>
    <col min="10758" max="10758" width="10.85546875" style="831" customWidth="1"/>
    <col min="10759" max="10759" width="11.5703125" style="831" customWidth="1"/>
    <col min="10760" max="10760" width="9.5703125" style="831" customWidth="1"/>
    <col min="10761" max="10761" width="11.5703125" style="831" customWidth="1"/>
    <col min="10762" max="10762" width="12.42578125" style="831" customWidth="1"/>
    <col min="10763" max="10763" width="11.5703125" style="831" customWidth="1"/>
    <col min="10764" max="10764" width="9.28515625" style="831" customWidth="1"/>
    <col min="10765" max="10765" width="11.28515625" style="831" customWidth="1"/>
    <col min="10766" max="10766" width="9.7109375" style="831" customWidth="1"/>
    <col min="10767" max="10767" width="11.5703125" style="831" customWidth="1"/>
    <col min="10768" max="10768" width="8.5703125" style="831" customWidth="1"/>
    <col min="10769" max="10769" width="10.7109375" style="831" customWidth="1"/>
    <col min="10770" max="10770" width="9" style="831" customWidth="1"/>
    <col min="10771" max="10771" width="11.42578125" style="831" customWidth="1"/>
    <col min="10772" max="10772" width="9" style="831" customWidth="1"/>
    <col min="10773" max="10773" width="10.140625" style="831" customWidth="1"/>
    <col min="10774" max="10774" width="10.85546875" style="831" customWidth="1"/>
    <col min="10775" max="11008" width="7.85546875" style="831"/>
    <col min="11009" max="11009" width="4.42578125" style="831" customWidth="1"/>
    <col min="11010" max="11010" width="37.140625" style="831" customWidth="1"/>
    <col min="11011" max="11011" width="0" style="831" hidden="1" customWidth="1"/>
    <col min="11012" max="11012" width="9" style="831" customWidth="1"/>
    <col min="11013" max="11013" width="6.85546875" style="831" customWidth="1"/>
    <col min="11014" max="11014" width="10.85546875" style="831" customWidth="1"/>
    <col min="11015" max="11015" width="11.5703125" style="831" customWidth="1"/>
    <col min="11016" max="11016" width="9.5703125" style="831" customWidth="1"/>
    <col min="11017" max="11017" width="11.5703125" style="831" customWidth="1"/>
    <col min="11018" max="11018" width="12.42578125" style="831" customWidth="1"/>
    <col min="11019" max="11019" width="11.5703125" style="831" customWidth="1"/>
    <col min="11020" max="11020" width="9.28515625" style="831" customWidth="1"/>
    <col min="11021" max="11021" width="11.28515625" style="831" customWidth="1"/>
    <col min="11022" max="11022" width="9.7109375" style="831" customWidth="1"/>
    <col min="11023" max="11023" width="11.5703125" style="831" customWidth="1"/>
    <col min="11024" max="11024" width="8.5703125" style="831" customWidth="1"/>
    <col min="11025" max="11025" width="10.7109375" style="831" customWidth="1"/>
    <col min="11026" max="11026" width="9" style="831" customWidth="1"/>
    <col min="11027" max="11027" width="11.42578125" style="831" customWidth="1"/>
    <col min="11028" max="11028" width="9" style="831" customWidth="1"/>
    <col min="11029" max="11029" width="10.140625" style="831" customWidth="1"/>
    <col min="11030" max="11030" width="10.85546875" style="831" customWidth="1"/>
    <col min="11031" max="11264" width="7.85546875" style="831"/>
    <col min="11265" max="11265" width="4.42578125" style="831" customWidth="1"/>
    <col min="11266" max="11266" width="37.140625" style="831" customWidth="1"/>
    <col min="11267" max="11267" width="0" style="831" hidden="1" customWidth="1"/>
    <col min="11268" max="11268" width="9" style="831" customWidth="1"/>
    <col min="11269" max="11269" width="6.85546875" style="831" customWidth="1"/>
    <col min="11270" max="11270" width="10.85546875" style="831" customWidth="1"/>
    <col min="11271" max="11271" width="11.5703125" style="831" customWidth="1"/>
    <col min="11272" max="11272" width="9.5703125" style="831" customWidth="1"/>
    <col min="11273" max="11273" width="11.5703125" style="831" customWidth="1"/>
    <col min="11274" max="11274" width="12.42578125" style="831" customWidth="1"/>
    <col min="11275" max="11275" width="11.5703125" style="831" customWidth="1"/>
    <col min="11276" max="11276" width="9.28515625" style="831" customWidth="1"/>
    <col min="11277" max="11277" width="11.28515625" style="831" customWidth="1"/>
    <col min="11278" max="11278" width="9.7109375" style="831" customWidth="1"/>
    <col min="11279" max="11279" width="11.5703125" style="831" customWidth="1"/>
    <col min="11280" max="11280" width="8.5703125" style="831" customWidth="1"/>
    <col min="11281" max="11281" width="10.7109375" style="831" customWidth="1"/>
    <col min="11282" max="11282" width="9" style="831" customWidth="1"/>
    <col min="11283" max="11283" width="11.42578125" style="831" customWidth="1"/>
    <col min="11284" max="11284" width="9" style="831" customWidth="1"/>
    <col min="11285" max="11285" width="10.140625" style="831" customWidth="1"/>
    <col min="11286" max="11286" width="10.85546875" style="831" customWidth="1"/>
    <col min="11287" max="11520" width="7.85546875" style="831"/>
    <col min="11521" max="11521" width="4.42578125" style="831" customWidth="1"/>
    <col min="11522" max="11522" width="37.140625" style="831" customWidth="1"/>
    <col min="11523" max="11523" width="0" style="831" hidden="1" customWidth="1"/>
    <col min="11524" max="11524" width="9" style="831" customWidth="1"/>
    <col min="11525" max="11525" width="6.85546875" style="831" customWidth="1"/>
    <col min="11526" max="11526" width="10.85546875" style="831" customWidth="1"/>
    <col min="11527" max="11527" width="11.5703125" style="831" customWidth="1"/>
    <col min="11528" max="11528" width="9.5703125" style="831" customWidth="1"/>
    <col min="11529" max="11529" width="11.5703125" style="831" customWidth="1"/>
    <col min="11530" max="11530" width="12.42578125" style="831" customWidth="1"/>
    <col min="11531" max="11531" width="11.5703125" style="831" customWidth="1"/>
    <col min="11532" max="11532" width="9.28515625" style="831" customWidth="1"/>
    <col min="11533" max="11533" width="11.28515625" style="831" customWidth="1"/>
    <col min="11534" max="11534" width="9.7109375" style="831" customWidth="1"/>
    <col min="11535" max="11535" width="11.5703125" style="831" customWidth="1"/>
    <col min="11536" max="11536" width="8.5703125" style="831" customWidth="1"/>
    <col min="11537" max="11537" width="10.7109375" style="831" customWidth="1"/>
    <col min="11538" max="11538" width="9" style="831" customWidth="1"/>
    <col min="11539" max="11539" width="11.42578125" style="831" customWidth="1"/>
    <col min="11540" max="11540" width="9" style="831" customWidth="1"/>
    <col min="11541" max="11541" width="10.140625" style="831" customWidth="1"/>
    <col min="11542" max="11542" width="10.85546875" style="831" customWidth="1"/>
    <col min="11543" max="11776" width="7.85546875" style="831"/>
    <col min="11777" max="11777" width="4.42578125" style="831" customWidth="1"/>
    <col min="11778" max="11778" width="37.140625" style="831" customWidth="1"/>
    <col min="11779" max="11779" width="0" style="831" hidden="1" customWidth="1"/>
    <col min="11780" max="11780" width="9" style="831" customWidth="1"/>
    <col min="11781" max="11781" width="6.85546875" style="831" customWidth="1"/>
    <col min="11782" max="11782" width="10.85546875" style="831" customWidth="1"/>
    <col min="11783" max="11783" width="11.5703125" style="831" customWidth="1"/>
    <col min="11784" max="11784" width="9.5703125" style="831" customWidth="1"/>
    <col min="11785" max="11785" width="11.5703125" style="831" customWidth="1"/>
    <col min="11786" max="11786" width="12.42578125" style="831" customWidth="1"/>
    <col min="11787" max="11787" width="11.5703125" style="831" customWidth="1"/>
    <col min="11788" max="11788" width="9.28515625" style="831" customWidth="1"/>
    <col min="11789" max="11789" width="11.28515625" style="831" customWidth="1"/>
    <col min="11790" max="11790" width="9.7109375" style="831" customWidth="1"/>
    <col min="11791" max="11791" width="11.5703125" style="831" customWidth="1"/>
    <col min="11792" max="11792" width="8.5703125" style="831" customWidth="1"/>
    <col min="11793" max="11793" width="10.7109375" style="831" customWidth="1"/>
    <col min="11794" max="11794" width="9" style="831" customWidth="1"/>
    <col min="11795" max="11795" width="11.42578125" style="831" customWidth="1"/>
    <col min="11796" max="11796" width="9" style="831" customWidth="1"/>
    <col min="11797" max="11797" width="10.140625" style="831" customWidth="1"/>
    <col min="11798" max="11798" width="10.85546875" style="831" customWidth="1"/>
    <col min="11799" max="12032" width="7.85546875" style="831"/>
    <col min="12033" max="12033" width="4.42578125" style="831" customWidth="1"/>
    <col min="12034" max="12034" width="37.140625" style="831" customWidth="1"/>
    <col min="12035" max="12035" width="0" style="831" hidden="1" customWidth="1"/>
    <col min="12036" max="12036" width="9" style="831" customWidth="1"/>
    <col min="12037" max="12037" width="6.85546875" style="831" customWidth="1"/>
    <col min="12038" max="12038" width="10.85546875" style="831" customWidth="1"/>
    <col min="12039" max="12039" width="11.5703125" style="831" customWidth="1"/>
    <col min="12040" max="12040" width="9.5703125" style="831" customWidth="1"/>
    <col min="12041" max="12041" width="11.5703125" style="831" customWidth="1"/>
    <col min="12042" max="12042" width="12.42578125" style="831" customWidth="1"/>
    <col min="12043" max="12043" width="11.5703125" style="831" customWidth="1"/>
    <col min="12044" max="12044" width="9.28515625" style="831" customWidth="1"/>
    <col min="12045" max="12045" width="11.28515625" style="831" customWidth="1"/>
    <col min="12046" max="12046" width="9.7109375" style="831" customWidth="1"/>
    <col min="12047" max="12047" width="11.5703125" style="831" customWidth="1"/>
    <col min="12048" max="12048" width="8.5703125" style="831" customWidth="1"/>
    <col min="12049" max="12049" width="10.7109375" style="831" customWidth="1"/>
    <col min="12050" max="12050" width="9" style="831" customWidth="1"/>
    <col min="12051" max="12051" width="11.42578125" style="831" customWidth="1"/>
    <col min="12052" max="12052" width="9" style="831" customWidth="1"/>
    <col min="12053" max="12053" width="10.140625" style="831" customWidth="1"/>
    <col min="12054" max="12054" width="10.85546875" style="831" customWidth="1"/>
    <col min="12055" max="12288" width="7.85546875" style="831"/>
    <col min="12289" max="12289" width="4.42578125" style="831" customWidth="1"/>
    <col min="12290" max="12290" width="37.140625" style="831" customWidth="1"/>
    <col min="12291" max="12291" width="0" style="831" hidden="1" customWidth="1"/>
    <col min="12292" max="12292" width="9" style="831" customWidth="1"/>
    <col min="12293" max="12293" width="6.85546875" style="831" customWidth="1"/>
    <col min="12294" max="12294" width="10.85546875" style="831" customWidth="1"/>
    <col min="12295" max="12295" width="11.5703125" style="831" customWidth="1"/>
    <col min="12296" max="12296" width="9.5703125" style="831" customWidth="1"/>
    <col min="12297" max="12297" width="11.5703125" style="831" customWidth="1"/>
    <col min="12298" max="12298" width="12.42578125" style="831" customWidth="1"/>
    <col min="12299" max="12299" width="11.5703125" style="831" customWidth="1"/>
    <col min="12300" max="12300" width="9.28515625" style="831" customWidth="1"/>
    <col min="12301" max="12301" width="11.28515625" style="831" customWidth="1"/>
    <col min="12302" max="12302" width="9.7109375" style="831" customWidth="1"/>
    <col min="12303" max="12303" width="11.5703125" style="831" customWidth="1"/>
    <col min="12304" max="12304" width="8.5703125" style="831" customWidth="1"/>
    <col min="12305" max="12305" width="10.7109375" style="831" customWidth="1"/>
    <col min="12306" max="12306" width="9" style="831" customWidth="1"/>
    <col min="12307" max="12307" width="11.42578125" style="831" customWidth="1"/>
    <col min="12308" max="12308" width="9" style="831" customWidth="1"/>
    <col min="12309" max="12309" width="10.140625" style="831" customWidth="1"/>
    <col min="12310" max="12310" width="10.85546875" style="831" customWidth="1"/>
    <col min="12311" max="12544" width="7.85546875" style="831"/>
    <col min="12545" max="12545" width="4.42578125" style="831" customWidth="1"/>
    <col min="12546" max="12546" width="37.140625" style="831" customWidth="1"/>
    <col min="12547" max="12547" width="0" style="831" hidden="1" customWidth="1"/>
    <col min="12548" max="12548" width="9" style="831" customWidth="1"/>
    <col min="12549" max="12549" width="6.85546875" style="831" customWidth="1"/>
    <col min="12550" max="12550" width="10.85546875" style="831" customWidth="1"/>
    <col min="12551" max="12551" width="11.5703125" style="831" customWidth="1"/>
    <col min="12552" max="12552" width="9.5703125" style="831" customWidth="1"/>
    <col min="12553" max="12553" width="11.5703125" style="831" customWidth="1"/>
    <col min="12554" max="12554" width="12.42578125" style="831" customWidth="1"/>
    <col min="12555" max="12555" width="11.5703125" style="831" customWidth="1"/>
    <col min="12556" max="12556" width="9.28515625" style="831" customWidth="1"/>
    <col min="12557" max="12557" width="11.28515625" style="831" customWidth="1"/>
    <col min="12558" max="12558" width="9.7109375" style="831" customWidth="1"/>
    <col min="12559" max="12559" width="11.5703125" style="831" customWidth="1"/>
    <col min="12560" max="12560" width="8.5703125" style="831" customWidth="1"/>
    <col min="12561" max="12561" width="10.7109375" style="831" customWidth="1"/>
    <col min="12562" max="12562" width="9" style="831" customWidth="1"/>
    <col min="12563" max="12563" width="11.42578125" style="831" customWidth="1"/>
    <col min="12564" max="12564" width="9" style="831" customWidth="1"/>
    <col min="12565" max="12565" width="10.140625" style="831" customWidth="1"/>
    <col min="12566" max="12566" width="10.85546875" style="831" customWidth="1"/>
    <col min="12567" max="12800" width="7.85546875" style="831"/>
    <col min="12801" max="12801" width="4.42578125" style="831" customWidth="1"/>
    <col min="12802" max="12802" width="37.140625" style="831" customWidth="1"/>
    <col min="12803" max="12803" width="0" style="831" hidden="1" customWidth="1"/>
    <col min="12804" max="12804" width="9" style="831" customWidth="1"/>
    <col min="12805" max="12805" width="6.85546875" style="831" customWidth="1"/>
    <col min="12806" max="12806" width="10.85546875" style="831" customWidth="1"/>
    <col min="12807" max="12807" width="11.5703125" style="831" customWidth="1"/>
    <col min="12808" max="12808" width="9.5703125" style="831" customWidth="1"/>
    <col min="12809" max="12809" width="11.5703125" style="831" customWidth="1"/>
    <col min="12810" max="12810" width="12.42578125" style="831" customWidth="1"/>
    <col min="12811" max="12811" width="11.5703125" style="831" customWidth="1"/>
    <col min="12812" max="12812" width="9.28515625" style="831" customWidth="1"/>
    <col min="12813" max="12813" width="11.28515625" style="831" customWidth="1"/>
    <col min="12814" max="12814" width="9.7109375" style="831" customWidth="1"/>
    <col min="12815" max="12815" width="11.5703125" style="831" customWidth="1"/>
    <col min="12816" max="12816" width="8.5703125" style="831" customWidth="1"/>
    <col min="12817" max="12817" width="10.7109375" style="831" customWidth="1"/>
    <col min="12818" max="12818" width="9" style="831" customWidth="1"/>
    <col min="12819" max="12819" width="11.42578125" style="831" customWidth="1"/>
    <col min="12820" max="12820" width="9" style="831" customWidth="1"/>
    <col min="12821" max="12821" width="10.140625" style="831" customWidth="1"/>
    <col min="12822" max="12822" width="10.85546875" style="831" customWidth="1"/>
    <col min="12823" max="13056" width="7.85546875" style="831"/>
    <col min="13057" max="13057" width="4.42578125" style="831" customWidth="1"/>
    <col min="13058" max="13058" width="37.140625" style="831" customWidth="1"/>
    <col min="13059" max="13059" width="0" style="831" hidden="1" customWidth="1"/>
    <col min="13060" max="13060" width="9" style="831" customWidth="1"/>
    <col min="13061" max="13061" width="6.85546875" style="831" customWidth="1"/>
    <col min="13062" max="13062" width="10.85546875" style="831" customWidth="1"/>
    <col min="13063" max="13063" width="11.5703125" style="831" customWidth="1"/>
    <col min="13064" max="13064" width="9.5703125" style="831" customWidth="1"/>
    <col min="13065" max="13065" width="11.5703125" style="831" customWidth="1"/>
    <col min="13066" max="13066" width="12.42578125" style="831" customWidth="1"/>
    <col min="13067" max="13067" width="11.5703125" style="831" customWidth="1"/>
    <col min="13068" max="13068" width="9.28515625" style="831" customWidth="1"/>
    <col min="13069" max="13069" width="11.28515625" style="831" customWidth="1"/>
    <col min="13070" max="13070" width="9.7109375" style="831" customWidth="1"/>
    <col min="13071" max="13071" width="11.5703125" style="831" customWidth="1"/>
    <col min="13072" max="13072" width="8.5703125" style="831" customWidth="1"/>
    <col min="13073" max="13073" width="10.7109375" style="831" customWidth="1"/>
    <col min="13074" max="13074" width="9" style="831" customWidth="1"/>
    <col min="13075" max="13075" width="11.42578125" style="831" customWidth="1"/>
    <col min="13076" max="13076" width="9" style="831" customWidth="1"/>
    <col min="13077" max="13077" width="10.140625" style="831" customWidth="1"/>
    <col min="13078" max="13078" width="10.85546875" style="831" customWidth="1"/>
    <col min="13079" max="13312" width="7.85546875" style="831"/>
    <col min="13313" max="13313" width="4.42578125" style="831" customWidth="1"/>
    <col min="13314" max="13314" width="37.140625" style="831" customWidth="1"/>
    <col min="13315" max="13315" width="0" style="831" hidden="1" customWidth="1"/>
    <col min="13316" max="13316" width="9" style="831" customWidth="1"/>
    <col min="13317" max="13317" width="6.85546875" style="831" customWidth="1"/>
    <col min="13318" max="13318" width="10.85546875" style="831" customWidth="1"/>
    <col min="13319" max="13319" width="11.5703125" style="831" customWidth="1"/>
    <col min="13320" max="13320" width="9.5703125" style="831" customWidth="1"/>
    <col min="13321" max="13321" width="11.5703125" style="831" customWidth="1"/>
    <col min="13322" max="13322" width="12.42578125" style="831" customWidth="1"/>
    <col min="13323" max="13323" width="11.5703125" style="831" customWidth="1"/>
    <col min="13324" max="13324" width="9.28515625" style="831" customWidth="1"/>
    <col min="13325" max="13325" width="11.28515625" style="831" customWidth="1"/>
    <col min="13326" max="13326" width="9.7109375" style="831" customWidth="1"/>
    <col min="13327" max="13327" width="11.5703125" style="831" customWidth="1"/>
    <col min="13328" max="13328" width="8.5703125" style="831" customWidth="1"/>
    <col min="13329" max="13329" width="10.7109375" style="831" customWidth="1"/>
    <col min="13330" max="13330" width="9" style="831" customWidth="1"/>
    <col min="13331" max="13331" width="11.42578125" style="831" customWidth="1"/>
    <col min="13332" max="13332" width="9" style="831" customWidth="1"/>
    <col min="13333" max="13333" width="10.140625" style="831" customWidth="1"/>
    <col min="13334" max="13334" width="10.85546875" style="831" customWidth="1"/>
    <col min="13335" max="13568" width="7.85546875" style="831"/>
    <col min="13569" max="13569" width="4.42578125" style="831" customWidth="1"/>
    <col min="13570" max="13570" width="37.140625" style="831" customWidth="1"/>
    <col min="13571" max="13571" width="0" style="831" hidden="1" customWidth="1"/>
    <col min="13572" max="13572" width="9" style="831" customWidth="1"/>
    <col min="13573" max="13573" width="6.85546875" style="831" customWidth="1"/>
    <col min="13574" max="13574" width="10.85546875" style="831" customWidth="1"/>
    <col min="13575" max="13575" width="11.5703125" style="831" customWidth="1"/>
    <col min="13576" max="13576" width="9.5703125" style="831" customWidth="1"/>
    <col min="13577" max="13577" width="11.5703125" style="831" customWidth="1"/>
    <col min="13578" max="13578" width="12.42578125" style="831" customWidth="1"/>
    <col min="13579" max="13579" width="11.5703125" style="831" customWidth="1"/>
    <col min="13580" max="13580" width="9.28515625" style="831" customWidth="1"/>
    <col min="13581" max="13581" width="11.28515625" style="831" customWidth="1"/>
    <col min="13582" max="13582" width="9.7109375" style="831" customWidth="1"/>
    <col min="13583" max="13583" width="11.5703125" style="831" customWidth="1"/>
    <col min="13584" max="13584" width="8.5703125" style="831" customWidth="1"/>
    <col min="13585" max="13585" width="10.7109375" style="831" customWidth="1"/>
    <col min="13586" max="13586" width="9" style="831" customWidth="1"/>
    <col min="13587" max="13587" width="11.42578125" style="831" customWidth="1"/>
    <col min="13588" max="13588" width="9" style="831" customWidth="1"/>
    <col min="13589" max="13589" width="10.140625" style="831" customWidth="1"/>
    <col min="13590" max="13590" width="10.85546875" style="831" customWidth="1"/>
    <col min="13591" max="13824" width="7.85546875" style="831"/>
    <col min="13825" max="13825" width="4.42578125" style="831" customWidth="1"/>
    <col min="13826" max="13826" width="37.140625" style="831" customWidth="1"/>
    <col min="13827" max="13827" width="0" style="831" hidden="1" customWidth="1"/>
    <col min="13828" max="13828" width="9" style="831" customWidth="1"/>
    <col min="13829" max="13829" width="6.85546875" style="831" customWidth="1"/>
    <col min="13830" max="13830" width="10.85546875" style="831" customWidth="1"/>
    <col min="13831" max="13831" width="11.5703125" style="831" customWidth="1"/>
    <col min="13832" max="13832" width="9.5703125" style="831" customWidth="1"/>
    <col min="13833" max="13833" width="11.5703125" style="831" customWidth="1"/>
    <col min="13834" max="13834" width="12.42578125" style="831" customWidth="1"/>
    <col min="13835" max="13835" width="11.5703125" style="831" customWidth="1"/>
    <col min="13836" max="13836" width="9.28515625" style="831" customWidth="1"/>
    <col min="13837" max="13837" width="11.28515625" style="831" customWidth="1"/>
    <col min="13838" max="13838" width="9.7109375" style="831" customWidth="1"/>
    <col min="13839" max="13839" width="11.5703125" style="831" customWidth="1"/>
    <col min="13840" max="13840" width="8.5703125" style="831" customWidth="1"/>
    <col min="13841" max="13841" width="10.7109375" style="831" customWidth="1"/>
    <col min="13842" max="13842" width="9" style="831" customWidth="1"/>
    <col min="13843" max="13843" width="11.42578125" style="831" customWidth="1"/>
    <col min="13844" max="13844" width="9" style="831" customWidth="1"/>
    <col min="13845" max="13845" width="10.140625" style="831" customWidth="1"/>
    <col min="13846" max="13846" width="10.85546875" style="831" customWidth="1"/>
    <col min="13847" max="14080" width="7.85546875" style="831"/>
    <col min="14081" max="14081" width="4.42578125" style="831" customWidth="1"/>
    <col min="14082" max="14082" width="37.140625" style="831" customWidth="1"/>
    <col min="14083" max="14083" width="0" style="831" hidden="1" customWidth="1"/>
    <col min="14084" max="14084" width="9" style="831" customWidth="1"/>
    <col min="14085" max="14085" width="6.85546875" style="831" customWidth="1"/>
    <col min="14086" max="14086" width="10.85546875" style="831" customWidth="1"/>
    <col min="14087" max="14087" width="11.5703125" style="831" customWidth="1"/>
    <col min="14088" max="14088" width="9.5703125" style="831" customWidth="1"/>
    <col min="14089" max="14089" width="11.5703125" style="831" customWidth="1"/>
    <col min="14090" max="14090" width="12.42578125" style="831" customWidth="1"/>
    <col min="14091" max="14091" width="11.5703125" style="831" customWidth="1"/>
    <col min="14092" max="14092" width="9.28515625" style="831" customWidth="1"/>
    <col min="14093" max="14093" width="11.28515625" style="831" customWidth="1"/>
    <col min="14094" max="14094" width="9.7109375" style="831" customWidth="1"/>
    <col min="14095" max="14095" width="11.5703125" style="831" customWidth="1"/>
    <col min="14096" max="14096" width="8.5703125" style="831" customWidth="1"/>
    <col min="14097" max="14097" width="10.7109375" style="831" customWidth="1"/>
    <col min="14098" max="14098" width="9" style="831" customWidth="1"/>
    <col min="14099" max="14099" width="11.42578125" style="831" customWidth="1"/>
    <col min="14100" max="14100" width="9" style="831" customWidth="1"/>
    <col min="14101" max="14101" width="10.140625" style="831" customWidth="1"/>
    <col min="14102" max="14102" width="10.85546875" style="831" customWidth="1"/>
    <col min="14103" max="14336" width="7.85546875" style="831"/>
    <col min="14337" max="14337" width="4.42578125" style="831" customWidth="1"/>
    <col min="14338" max="14338" width="37.140625" style="831" customWidth="1"/>
    <col min="14339" max="14339" width="0" style="831" hidden="1" customWidth="1"/>
    <col min="14340" max="14340" width="9" style="831" customWidth="1"/>
    <col min="14341" max="14341" width="6.85546875" style="831" customWidth="1"/>
    <col min="14342" max="14342" width="10.85546875" style="831" customWidth="1"/>
    <col min="14343" max="14343" width="11.5703125" style="831" customWidth="1"/>
    <col min="14344" max="14344" width="9.5703125" style="831" customWidth="1"/>
    <col min="14345" max="14345" width="11.5703125" style="831" customWidth="1"/>
    <col min="14346" max="14346" width="12.42578125" style="831" customWidth="1"/>
    <col min="14347" max="14347" width="11.5703125" style="831" customWidth="1"/>
    <col min="14348" max="14348" width="9.28515625" style="831" customWidth="1"/>
    <col min="14349" max="14349" width="11.28515625" style="831" customWidth="1"/>
    <col min="14350" max="14350" width="9.7109375" style="831" customWidth="1"/>
    <col min="14351" max="14351" width="11.5703125" style="831" customWidth="1"/>
    <col min="14352" max="14352" width="8.5703125" style="831" customWidth="1"/>
    <col min="14353" max="14353" width="10.7109375" style="831" customWidth="1"/>
    <col min="14354" max="14354" width="9" style="831" customWidth="1"/>
    <col min="14355" max="14355" width="11.42578125" style="831" customWidth="1"/>
    <col min="14356" max="14356" width="9" style="831" customWidth="1"/>
    <col min="14357" max="14357" width="10.140625" style="831" customWidth="1"/>
    <col min="14358" max="14358" width="10.85546875" style="831" customWidth="1"/>
    <col min="14359" max="14592" width="7.85546875" style="831"/>
    <col min="14593" max="14593" width="4.42578125" style="831" customWidth="1"/>
    <col min="14594" max="14594" width="37.140625" style="831" customWidth="1"/>
    <col min="14595" max="14595" width="0" style="831" hidden="1" customWidth="1"/>
    <col min="14596" max="14596" width="9" style="831" customWidth="1"/>
    <col min="14597" max="14597" width="6.85546875" style="831" customWidth="1"/>
    <col min="14598" max="14598" width="10.85546875" style="831" customWidth="1"/>
    <col min="14599" max="14599" width="11.5703125" style="831" customWidth="1"/>
    <col min="14600" max="14600" width="9.5703125" style="831" customWidth="1"/>
    <col min="14601" max="14601" width="11.5703125" style="831" customWidth="1"/>
    <col min="14602" max="14602" width="12.42578125" style="831" customWidth="1"/>
    <col min="14603" max="14603" width="11.5703125" style="831" customWidth="1"/>
    <col min="14604" max="14604" width="9.28515625" style="831" customWidth="1"/>
    <col min="14605" max="14605" width="11.28515625" style="831" customWidth="1"/>
    <col min="14606" max="14606" width="9.7109375" style="831" customWidth="1"/>
    <col min="14607" max="14607" width="11.5703125" style="831" customWidth="1"/>
    <col min="14608" max="14608" width="8.5703125" style="831" customWidth="1"/>
    <col min="14609" max="14609" width="10.7109375" style="831" customWidth="1"/>
    <col min="14610" max="14610" width="9" style="831" customWidth="1"/>
    <col min="14611" max="14611" width="11.42578125" style="831" customWidth="1"/>
    <col min="14612" max="14612" width="9" style="831" customWidth="1"/>
    <col min="14613" max="14613" width="10.140625" style="831" customWidth="1"/>
    <col min="14614" max="14614" width="10.85546875" style="831" customWidth="1"/>
    <col min="14615" max="14848" width="7.85546875" style="831"/>
    <col min="14849" max="14849" width="4.42578125" style="831" customWidth="1"/>
    <col min="14850" max="14850" width="37.140625" style="831" customWidth="1"/>
    <col min="14851" max="14851" width="0" style="831" hidden="1" customWidth="1"/>
    <col min="14852" max="14852" width="9" style="831" customWidth="1"/>
    <col min="14853" max="14853" width="6.85546875" style="831" customWidth="1"/>
    <col min="14854" max="14854" width="10.85546875" style="831" customWidth="1"/>
    <col min="14855" max="14855" width="11.5703125" style="831" customWidth="1"/>
    <col min="14856" max="14856" width="9.5703125" style="831" customWidth="1"/>
    <col min="14857" max="14857" width="11.5703125" style="831" customWidth="1"/>
    <col min="14858" max="14858" width="12.42578125" style="831" customWidth="1"/>
    <col min="14859" max="14859" width="11.5703125" style="831" customWidth="1"/>
    <col min="14860" max="14860" width="9.28515625" style="831" customWidth="1"/>
    <col min="14861" max="14861" width="11.28515625" style="831" customWidth="1"/>
    <col min="14862" max="14862" width="9.7109375" style="831" customWidth="1"/>
    <col min="14863" max="14863" width="11.5703125" style="831" customWidth="1"/>
    <col min="14864" max="14864" width="8.5703125" style="831" customWidth="1"/>
    <col min="14865" max="14865" width="10.7109375" style="831" customWidth="1"/>
    <col min="14866" max="14866" width="9" style="831" customWidth="1"/>
    <col min="14867" max="14867" width="11.42578125" style="831" customWidth="1"/>
    <col min="14868" max="14868" width="9" style="831" customWidth="1"/>
    <col min="14869" max="14869" width="10.140625" style="831" customWidth="1"/>
    <col min="14870" max="14870" width="10.85546875" style="831" customWidth="1"/>
    <col min="14871" max="15104" width="7.85546875" style="831"/>
    <col min="15105" max="15105" width="4.42578125" style="831" customWidth="1"/>
    <col min="15106" max="15106" width="37.140625" style="831" customWidth="1"/>
    <col min="15107" max="15107" width="0" style="831" hidden="1" customWidth="1"/>
    <col min="15108" max="15108" width="9" style="831" customWidth="1"/>
    <col min="15109" max="15109" width="6.85546875" style="831" customWidth="1"/>
    <col min="15110" max="15110" width="10.85546875" style="831" customWidth="1"/>
    <col min="15111" max="15111" width="11.5703125" style="831" customWidth="1"/>
    <col min="15112" max="15112" width="9.5703125" style="831" customWidth="1"/>
    <col min="15113" max="15113" width="11.5703125" style="831" customWidth="1"/>
    <col min="15114" max="15114" width="12.42578125" style="831" customWidth="1"/>
    <col min="15115" max="15115" width="11.5703125" style="831" customWidth="1"/>
    <col min="15116" max="15116" width="9.28515625" style="831" customWidth="1"/>
    <col min="15117" max="15117" width="11.28515625" style="831" customWidth="1"/>
    <col min="15118" max="15118" width="9.7109375" style="831" customWidth="1"/>
    <col min="15119" max="15119" width="11.5703125" style="831" customWidth="1"/>
    <col min="15120" max="15120" width="8.5703125" style="831" customWidth="1"/>
    <col min="15121" max="15121" width="10.7109375" style="831" customWidth="1"/>
    <col min="15122" max="15122" width="9" style="831" customWidth="1"/>
    <col min="15123" max="15123" width="11.42578125" style="831" customWidth="1"/>
    <col min="15124" max="15124" width="9" style="831" customWidth="1"/>
    <col min="15125" max="15125" width="10.140625" style="831" customWidth="1"/>
    <col min="15126" max="15126" width="10.85546875" style="831" customWidth="1"/>
    <col min="15127" max="15360" width="7.85546875" style="831"/>
    <col min="15361" max="15361" width="4.42578125" style="831" customWidth="1"/>
    <col min="15362" max="15362" width="37.140625" style="831" customWidth="1"/>
    <col min="15363" max="15363" width="0" style="831" hidden="1" customWidth="1"/>
    <col min="15364" max="15364" width="9" style="831" customWidth="1"/>
    <col min="15365" max="15365" width="6.85546875" style="831" customWidth="1"/>
    <col min="15366" max="15366" width="10.85546875" style="831" customWidth="1"/>
    <col min="15367" max="15367" width="11.5703125" style="831" customWidth="1"/>
    <col min="15368" max="15368" width="9.5703125" style="831" customWidth="1"/>
    <col min="15369" max="15369" width="11.5703125" style="831" customWidth="1"/>
    <col min="15370" max="15370" width="12.42578125" style="831" customWidth="1"/>
    <col min="15371" max="15371" width="11.5703125" style="831" customWidth="1"/>
    <col min="15372" max="15372" width="9.28515625" style="831" customWidth="1"/>
    <col min="15373" max="15373" width="11.28515625" style="831" customWidth="1"/>
    <col min="15374" max="15374" width="9.7109375" style="831" customWidth="1"/>
    <col min="15375" max="15375" width="11.5703125" style="831" customWidth="1"/>
    <col min="15376" max="15376" width="8.5703125" style="831" customWidth="1"/>
    <col min="15377" max="15377" width="10.7109375" style="831" customWidth="1"/>
    <col min="15378" max="15378" width="9" style="831" customWidth="1"/>
    <col min="15379" max="15379" width="11.42578125" style="831" customWidth="1"/>
    <col min="15380" max="15380" width="9" style="831" customWidth="1"/>
    <col min="15381" max="15381" width="10.140625" style="831" customWidth="1"/>
    <col min="15382" max="15382" width="10.85546875" style="831" customWidth="1"/>
    <col min="15383" max="15616" width="7.85546875" style="831"/>
    <col min="15617" max="15617" width="4.42578125" style="831" customWidth="1"/>
    <col min="15618" max="15618" width="37.140625" style="831" customWidth="1"/>
    <col min="15619" max="15619" width="0" style="831" hidden="1" customWidth="1"/>
    <col min="15620" max="15620" width="9" style="831" customWidth="1"/>
    <col min="15621" max="15621" width="6.85546875" style="831" customWidth="1"/>
    <col min="15622" max="15622" width="10.85546875" style="831" customWidth="1"/>
    <col min="15623" max="15623" width="11.5703125" style="831" customWidth="1"/>
    <col min="15624" max="15624" width="9.5703125" style="831" customWidth="1"/>
    <col min="15625" max="15625" width="11.5703125" style="831" customWidth="1"/>
    <col min="15626" max="15626" width="12.42578125" style="831" customWidth="1"/>
    <col min="15627" max="15627" width="11.5703125" style="831" customWidth="1"/>
    <col min="15628" max="15628" width="9.28515625" style="831" customWidth="1"/>
    <col min="15629" max="15629" width="11.28515625" style="831" customWidth="1"/>
    <col min="15630" max="15630" width="9.7109375" style="831" customWidth="1"/>
    <col min="15631" max="15631" width="11.5703125" style="831" customWidth="1"/>
    <col min="15632" max="15632" width="8.5703125" style="831" customWidth="1"/>
    <col min="15633" max="15633" width="10.7109375" style="831" customWidth="1"/>
    <col min="15634" max="15634" width="9" style="831" customWidth="1"/>
    <col min="15635" max="15635" width="11.42578125" style="831" customWidth="1"/>
    <col min="15636" max="15636" width="9" style="831" customWidth="1"/>
    <col min="15637" max="15637" width="10.140625" style="831" customWidth="1"/>
    <col min="15638" max="15638" width="10.85546875" style="831" customWidth="1"/>
    <col min="15639" max="15872" width="7.85546875" style="831"/>
    <col min="15873" max="15873" width="4.42578125" style="831" customWidth="1"/>
    <col min="15874" max="15874" width="37.140625" style="831" customWidth="1"/>
    <col min="15875" max="15875" width="0" style="831" hidden="1" customWidth="1"/>
    <col min="15876" max="15876" width="9" style="831" customWidth="1"/>
    <col min="15877" max="15877" width="6.85546875" style="831" customWidth="1"/>
    <col min="15878" max="15878" width="10.85546875" style="831" customWidth="1"/>
    <col min="15879" max="15879" width="11.5703125" style="831" customWidth="1"/>
    <col min="15880" max="15880" width="9.5703125" style="831" customWidth="1"/>
    <col min="15881" max="15881" width="11.5703125" style="831" customWidth="1"/>
    <col min="15882" max="15882" width="12.42578125" style="831" customWidth="1"/>
    <col min="15883" max="15883" width="11.5703125" style="831" customWidth="1"/>
    <col min="15884" max="15884" width="9.28515625" style="831" customWidth="1"/>
    <col min="15885" max="15885" width="11.28515625" style="831" customWidth="1"/>
    <col min="15886" max="15886" width="9.7109375" style="831" customWidth="1"/>
    <col min="15887" max="15887" width="11.5703125" style="831" customWidth="1"/>
    <col min="15888" max="15888" width="8.5703125" style="831" customWidth="1"/>
    <col min="15889" max="15889" width="10.7109375" style="831" customWidth="1"/>
    <col min="15890" max="15890" width="9" style="831" customWidth="1"/>
    <col min="15891" max="15891" width="11.42578125" style="831" customWidth="1"/>
    <col min="15892" max="15892" width="9" style="831" customWidth="1"/>
    <col min="15893" max="15893" width="10.140625" style="831" customWidth="1"/>
    <col min="15894" max="15894" width="10.85546875" style="831" customWidth="1"/>
    <col min="15895" max="16128" width="7.85546875" style="831"/>
    <col min="16129" max="16129" width="4.42578125" style="831" customWidth="1"/>
    <col min="16130" max="16130" width="37.140625" style="831" customWidth="1"/>
    <col min="16131" max="16131" width="0" style="831" hidden="1" customWidth="1"/>
    <col min="16132" max="16132" width="9" style="831" customWidth="1"/>
    <col min="16133" max="16133" width="6.85546875" style="831" customWidth="1"/>
    <col min="16134" max="16134" width="10.85546875" style="831" customWidth="1"/>
    <col min="16135" max="16135" width="11.5703125" style="831" customWidth="1"/>
    <col min="16136" max="16136" width="9.5703125" style="831" customWidth="1"/>
    <col min="16137" max="16137" width="11.5703125" style="831" customWidth="1"/>
    <col min="16138" max="16138" width="12.42578125" style="831" customWidth="1"/>
    <col min="16139" max="16139" width="11.5703125" style="831" customWidth="1"/>
    <col min="16140" max="16140" width="9.28515625" style="831" customWidth="1"/>
    <col min="16141" max="16141" width="11.28515625" style="831" customWidth="1"/>
    <col min="16142" max="16142" width="9.7109375" style="831" customWidth="1"/>
    <col min="16143" max="16143" width="11.5703125" style="831" customWidth="1"/>
    <col min="16144" max="16144" width="8.5703125" style="831" customWidth="1"/>
    <col min="16145" max="16145" width="10.7109375" style="831" customWidth="1"/>
    <col min="16146" max="16146" width="9" style="831" customWidth="1"/>
    <col min="16147" max="16147" width="11.42578125" style="831" customWidth="1"/>
    <col min="16148" max="16148" width="9" style="831" customWidth="1"/>
    <col min="16149" max="16149" width="10.140625" style="831" customWidth="1"/>
    <col min="16150" max="16150" width="10.85546875" style="831" customWidth="1"/>
    <col min="16151" max="16384" width="7.85546875" style="831"/>
  </cols>
  <sheetData>
    <row r="1" spans="1:39" s="830" customFormat="1" ht="16.5" customHeight="1">
      <c r="A1" s="829"/>
      <c r="B1" s="829"/>
      <c r="C1" s="829"/>
      <c r="D1" s="829"/>
      <c r="E1" s="829"/>
      <c r="F1" s="829"/>
      <c r="G1" s="829"/>
      <c r="H1" s="829"/>
      <c r="I1" s="829"/>
      <c r="J1" s="829"/>
      <c r="S1" s="1227" t="s">
        <v>871</v>
      </c>
      <c r="T1" s="1227"/>
      <c r="U1" s="1227"/>
    </row>
    <row r="2" spans="1:39" ht="19.5" customHeight="1">
      <c r="A2" s="1228" t="s">
        <v>872</v>
      </c>
      <c r="B2" s="1228"/>
      <c r="C2" s="1228"/>
      <c r="D2" s="1228"/>
      <c r="E2" s="1228"/>
      <c r="F2" s="1228"/>
      <c r="G2" s="1228"/>
      <c r="H2" s="1228"/>
      <c r="I2" s="1228"/>
      <c r="J2" s="1228"/>
      <c r="K2" s="1228"/>
      <c r="L2" s="1228"/>
      <c r="M2" s="1228"/>
      <c r="N2" s="1228"/>
      <c r="O2" s="1228"/>
      <c r="P2" s="1228"/>
      <c r="Q2" s="1228"/>
      <c r="R2" s="1228"/>
      <c r="S2" s="1228"/>
      <c r="T2" s="1228"/>
      <c r="U2" s="1228"/>
      <c r="V2" s="1228"/>
    </row>
    <row r="3" spans="1:39" ht="21" customHeight="1">
      <c r="A3" s="1229" t="s">
        <v>1210</v>
      </c>
      <c r="B3" s="1229"/>
      <c r="C3" s="1229"/>
      <c r="D3" s="1229"/>
      <c r="E3" s="1229"/>
      <c r="F3" s="1229"/>
      <c r="G3" s="1229"/>
      <c r="H3" s="1229"/>
      <c r="I3" s="1229"/>
      <c r="J3" s="1229"/>
      <c r="K3" s="1229"/>
      <c r="L3" s="1229"/>
      <c r="M3" s="1229"/>
      <c r="N3" s="1229"/>
      <c r="O3" s="1229"/>
      <c r="P3" s="1229"/>
      <c r="Q3" s="1229"/>
      <c r="R3" s="1229"/>
      <c r="S3" s="1229"/>
      <c r="T3" s="1229"/>
      <c r="U3" s="1229"/>
      <c r="V3" s="1229"/>
      <c r="AM3" s="833"/>
    </row>
    <row r="4" spans="1:39" ht="30" customHeight="1">
      <c r="A4" s="832"/>
      <c r="B4" s="832"/>
      <c r="C4" s="832"/>
      <c r="D4" s="832"/>
      <c r="E4" s="832"/>
      <c r="F4" s="832"/>
      <c r="G4" s="834"/>
      <c r="H4" s="832"/>
      <c r="I4" s="832"/>
      <c r="J4" s="835"/>
      <c r="K4" s="836"/>
      <c r="O4" s="836"/>
      <c r="R4" s="1230" t="s">
        <v>2</v>
      </c>
      <c r="S4" s="1230"/>
      <c r="T4" s="1230"/>
    </row>
    <row r="5" spans="1:39" ht="15.75" customHeight="1">
      <c r="A5" s="1226" t="s">
        <v>3</v>
      </c>
      <c r="B5" s="1226" t="s">
        <v>873</v>
      </c>
      <c r="C5" s="1231" t="s">
        <v>874</v>
      </c>
      <c r="D5" s="1226" t="s">
        <v>875</v>
      </c>
      <c r="E5" s="1226" t="s">
        <v>876</v>
      </c>
      <c r="F5" s="1226" t="s">
        <v>877</v>
      </c>
      <c r="G5" s="1226"/>
      <c r="H5" s="1226"/>
      <c r="I5" s="1226"/>
      <c r="J5" s="1226"/>
      <c r="K5" s="1224" t="s">
        <v>878</v>
      </c>
      <c r="L5" s="1224"/>
      <c r="M5" s="1224"/>
      <c r="N5" s="1224"/>
      <c r="O5" s="1224" t="s">
        <v>879</v>
      </c>
      <c r="P5" s="1224"/>
      <c r="Q5" s="1224"/>
      <c r="R5" s="1224"/>
      <c r="S5" s="1224" t="s">
        <v>880</v>
      </c>
      <c r="T5" s="1224"/>
      <c r="U5" s="1224"/>
      <c r="V5" s="1224"/>
    </row>
    <row r="6" spans="1:39" ht="25.5" customHeight="1">
      <c r="A6" s="1226"/>
      <c r="B6" s="1226"/>
      <c r="C6" s="1232"/>
      <c r="D6" s="1226"/>
      <c r="E6" s="1226"/>
      <c r="F6" s="1226" t="s">
        <v>881</v>
      </c>
      <c r="G6" s="1226" t="s">
        <v>882</v>
      </c>
      <c r="H6" s="1226"/>
      <c r="I6" s="1226"/>
      <c r="J6" s="1226"/>
      <c r="K6" s="1224"/>
      <c r="L6" s="1224"/>
      <c r="M6" s="1224"/>
      <c r="N6" s="1224"/>
      <c r="O6" s="1224"/>
      <c r="P6" s="1224"/>
      <c r="Q6" s="1224"/>
      <c r="R6" s="1224"/>
      <c r="S6" s="1224"/>
      <c r="T6" s="1224"/>
      <c r="U6" s="1224"/>
      <c r="V6" s="1224"/>
    </row>
    <row r="7" spans="1:39" ht="18.75" customHeight="1">
      <c r="A7" s="1226"/>
      <c r="B7" s="1226"/>
      <c r="C7" s="1232"/>
      <c r="D7" s="1226"/>
      <c r="E7" s="1226"/>
      <c r="F7" s="1226"/>
      <c r="G7" s="1226" t="s">
        <v>883</v>
      </c>
      <c r="H7" s="1226" t="s">
        <v>884</v>
      </c>
      <c r="I7" s="1226"/>
      <c r="J7" s="1226"/>
      <c r="K7" s="1224" t="s">
        <v>89</v>
      </c>
      <c r="L7" s="1224" t="s">
        <v>884</v>
      </c>
      <c r="M7" s="1224"/>
      <c r="N7" s="1224"/>
      <c r="O7" s="1224" t="s">
        <v>89</v>
      </c>
      <c r="P7" s="1224" t="s">
        <v>884</v>
      </c>
      <c r="Q7" s="1224"/>
      <c r="R7" s="1224"/>
      <c r="S7" s="1224" t="s">
        <v>89</v>
      </c>
      <c r="T7" s="1224" t="s">
        <v>884</v>
      </c>
      <c r="U7" s="1224"/>
      <c r="V7" s="1224"/>
    </row>
    <row r="8" spans="1:39" ht="15" customHeight="1">
      <c r="A8" s="1226"/>
      <c r="B8" s="1226"/>
      <c r="C8" s="1232"/>
      <c r="D8" s="1226"/>
      <c r="E8" s="1226"/>
      <c r="F8" s="1226"/>
      <c r="G8" s="1226"/>
      <c r="H8" s="1226" t="s">
        <v>383</v>
      </c>
      <c r="I8" s="1224" t="s">
        <v>885</v>
      </c>
      <c r="J8" s="1224" t="s">
        <v>344</v>
      </c>
      <c r="K8" s="1224"/>
      <c r="L8" s="1224" t="s">
        <v>886</v>
      </c>
      <c r="M8" s="1224" t="s">
        <v>885</v>
      </c>
      <c r="N8" s="1224" t="s">
        <v>344</v>
      </c>
      <c r="O8" s="1224"/>
      <c r="P8" s="1224" t="s">
        <v>886</v>
      </c>
      <c r="Q8" s="1224" t="s">
        <v>885</v>
      </c>
      <c r="R8" s="1224" t="s">
        <v>344</v>
      </c>
      <c r="S8" s="1224"/>
      <c r="T8" s="1224" t="s">
        <v>886</v>
      </c>
      <c r="U8" s="1224" t="s">
        <v>885</v>
      </c>
      <c r="V8" s="1224" t="s">
        <v>344</v>
      </c>
    </row>
    <row r="9" spans="1:39" ht="12" customHeight="1">
      <c r="A9" s="1226"/>
      <c r="B9" s="1226"/>
      <c r="C9" s="1232"/>
      <c r="D9" s="1226"/>
      <c r="E9" s="1226"/>
      <c r="F9" s="1226"/>
      <c r="G9" s="1226"/>
      <c r="H9" s="1226"/>
      <c r="I9" s="1224"/>
      <c r="J9" s="1224"/>
      <c r="K9" s="1224"/>
      <c r="L9" s="1224"/>
      <c r="M9" s="1224"/>
      <c r="N9" s="1224"/>
      <c r="O9" s="1224"/>
      <c r="P9" s="1224"/>
      <c r="Q9" s="1224"/>
      <c r="R9" s="1224"/>
      <c r="S9" s="1224"/>
      <c r="T9" s="1224"/>
      <c r="U9" s="1224"/>
      <c r="V9" s="1224"/>
    </row>
    <row r="10" spans="1:39" ht="17.25" customHeight="1">
      <c r="A10" s="1226"/>
      <c r="B10" s="1226"/>
      <c r="C10" s="1233"/>
      <c r="D10" s="1226"/>
      <c r="E10" s="1226"/>
      <c r="F10" s="1226"/>
      <c r="G10" s="1226"/>
      <c r="H10" s="1226"/>
      <c r="I10" s="1225"/>
      <c r="J10" s="1225"/>
      <c r="K10" s="1225"/>
      <c r="L10" s="1225"/>
      <c r="M10" s="1225"/>
      <c r="N10" s="1225"/>
      <c r="O10" s="1225"/>
      <c r="P10" s="1225"/>
      <c r="Q10" s="1225"/>
      <c r="R10" s="1225"/>
      <c r="S10" s="1225"/>
      <c r="T10" s="1225"/>
      <c r="U10" s="1225"/>
      <c r="V10" s="1225"/>
    </row>
    <row r="11" spans="1:39" ht="16.5" customHeight="1">
      <c r="A11" s="837">
        <v>1</v>
      </c>
      <c r="B11" s="837">
        <v>2</v>
      </c>
      <c r="C11" s="837"/>
      <c r="D11" s="837">
        <v>3</v>
      </c>
      <c r="E11" s="837">
        <v>4</v>
      </c>
      <c r="F11" s="837">
        <v>5</v>
      </c>
      <c r="G11" s="837">
        <v>6</v>
      </c>
      <c r="H11" s="837">
        <v>7</v>
      </c>
      <c r="I11" s="837">
        <v>8</v>
      </c>
      <c r="J11" s="837">
        <v>9</v>
      </c>
      <c r="K11" s="837">
        <v>10</v>
      </c>
      <c r="L11" s="837">
        <v>11</v>
      </c>
      <c r="M11" s="837">
        <v>12</v>
      </c>
      <c r="N11" s="837">
        <v>13</v>
      </c>
      <c r="O11" s="837">
        <v>14</v>
      </c>
      <c r="P11" s="837">
        <v>15</v>
      </c>
      <c r="Q11" s="837">
        <v>16</v>
      </c>
      <c r="R11" s="837">
        <v>17</v>
      </c>
      <c r="S11" s="837">
        <v>18</v>
      </c>
      <c r="T11" s="837">
        <v>19</v>
      </c>
      <c r="U11" s="837">
        <v>20</v>
      </c>
      <c r="V11" s="837">
        <v>21</v>
      </c>
    </row>
    <row r="12" spans="1:39" s="830" customFormat="1" ht="16.5" customHeight="1">
      <c r="A12" s="838"/>
      <c r="B12" s="838" t="s">
        <v>887</v>
      </c>
      <c r="C12" s="838"/>
      <c r="D12" s="838"/>
      <c r="E12" s="838"/>
      <c r="F12" s="838"/>
      <c r="G12" s="839">
        <f t="shared" ref="G12:V12" si="0">SUBTOTAL(9,G13:G147)</f>
        <v>9953915.7129999995</v>
      </c>
      <c r="H12" s="839">
        <f t="shared" si="0"/>
        <v>0</v>
      </c>
      <c r="I12" s="839">
        <f t="shared" si="0"/>
        <v>0</v>
      </c>
      <c r="J12" s="839">
        <f t="shared" si="0"/>
        <v>6696003.7129999995</v>
      </c>
      <c r="K12" s="839">
        <f t="shared" si="0"/>
        <v>1674031.8292340001</v>
      </c>
      <c r="L12" s="839">
        <f t="shared" si="0"/>
        <v>0</v>
      </c>
      <c r="M12" s="839">
        <f t="shared" si="0"/>
        <v>0</v>
      </c>
      <c r="N12" s="839">
        <f t="shared" si="0"/>
        <v>1674031.8292340001</v>
      </c>
      <c r="O12" s="839">
        <f t="shared" si="0"/>
        <v>1674031.8292340001</v>
      </c>
      <c r="P12" s="839">
        <f t="shared" si="0"/>
        <v>0</v>
      </c>
      <c r="Q12" s="839">
        <f t="shared" si="0"/>
        <v>0</v>
      </c>
      <c r="R12" s="839">
        <f t="shared" si="0"/>
        <v>1674031.8292340001</v>
      </c>
      <c r="S12" s="839">
        <f t="shared" si="0"/>
        <v>3956954.0577659998</v>
      </c>
      <c r="T12" s="839">
        <f t="shared" si="0"/>
        <v>13718</v>
      </c>
      <c r="U12" s="839">
        <f t="shared" si="0"/>
        <v>1446569</v>
      </c>
      <c r="V12" s="839">
        <f t="shared" si="0"/>
        <v>2496667.0577659998</v>
      </c>
    </row>
    <row r="13" spans="1:39" s="830" customFormat="1" ht="25.9" customHeight="1" collapsed="1">
      <c r="A13" s="840" t="s">
        <v>888</v>
      </c>
      <c r="B13" s="841" t="s">
        <v>889</v>
      </c>
      <c r="C13" s="842"/>
      <c r="D13" s="843"/>
      <c r="E13" s="844"/>
      <c r="F13" s="844"/>
      <c r="G13" s="342">
        <f t="shared" ref="G13:V13" si="1">SUBTOTAL(9,G14:G143)</f>
        <v>9953915.7129999995</v>
      </c>
      <c r="H13" s="342">
        <f t="shared" si="1"/>
        <v>0</v>
      </c>
      <c r="I13" s="342">
        <f t="shared" si="1"/>
        <v>0</v>
      </c>
      <c r="J13" s="342">
        <f t="shared" si="1"/>
        <v>6696003.7129999995</v>
      </c>
      <c r="K13" s="342">
        <f t="shared" si="1"/>
        <v>1674031.8292340001</v>
      </c>
      <c r="L13" s="342">
        <f t="shared" si="1"/>
        <v>0</v>
      </c>
      <c r="M13" s="342">
        <f t="shared" si="1"/>
        <v>0</v>
      </c>
      <c r="N13" s="342">
        <f t="shared" si="1"/>
        <v>1674031.8292340001</v>
      </c>
      <c r="O13" s="342">
        <f t="shared" si="1"/>
        <v>1674031.8292340001</v>
      </c>
      <c r="P13" s="342">
        <f t="shared" si="1"/>
        <v>0</v>
      </c>
      <c r="Q13" s="342">
        <f t="shared" si="1"/>
        <v>0</v>
      </c>
      <c r="R13" s="342">
        <f t="shared" si="1"/>
        <v>1674031.8292340001</v>
      </c>
      <c r="S13" s="342">
        <f t="shared" si="1"/>
        <v>2496667.0577659998</v>
      </c>
      <c r="T13" s="342">
        <f t="shared" si="1"/>
        <v>0</v>
      </c>
      <c r="U13" s="342">
        <f t="shared" si="1"/>
        <v>0</v>
      </c>
      <c r="V13" s="342">
        <f t="shared" si="1"/>
        <v>2496667.0577659998</v>
      </c>
    </row>
    <row r="14" spans="1:39" s="830" customFormat="1" ht="39" customHeight="1">
      <c r="A14" s="843" t="s">
        <v>890</v>
      </c>
      <c r="B14" s="845" t="s">
        <v>891</v>
      </c>
      <c r="C14" s="846"/>
      <c r="D14" s="843"/>
      <c r="E14" s="844"/>
      <c r="F14" s="844"/>
      <c r="G14" s="342">
        <f t="shared" ref="G14:V14" si="2">SUBTOTAL(9,G15:G58)</f>
        <v>1873623</v>
      </c>
      <c r="H14" s="342">
        <f t="shared" si="2"/>
        <v>0</v>
      </c>
      <c r="I14" s="342">
        <f t="shared" si="2"/>
        <v>0</v>
      </c>
      <c r="J14" s="342">
        <f t="shared" si="2"/>
        <v>1076253</v>
      </c>
      <c r="K14" s="342">
        <f t="shared" si="2"/>
        <v>1100437.5422340001</v>
      </c>
      <c r="L14" s="342">
        <f t="shared" si="2"/>
        <v>0</v>
      </c>
      <c r="M14" s="342">
        <f t="shared" si="2"/>
        <v>0</v>
      </c>
      <c r="N14" s="342">
        <f t="shared" si="2"/>
        <v>1100437.5422340001</v>
      </c>
      <c r="O14" s="342">
        <f t="shared" si="2"/>
        <v>1100437.942234</v>
      </c>
      <c r="P14" s="342">
        <f t="shared" si="2"/>
        <v>0</v>
      </c>
      <c r="Q14" s="342">
        <f t="shared" si="2"/>
        <v>0</v>
      </c>
      <c r="R14" s="342">
        <f t="shared" si="2"/>
        <v>1100437.942234</v>
      </c>
      <c r="S14" s="342">
        <f t="shared" si="2"/>
        <v>552690.05776600004</v>
      </c>
      <c r="T14" s="342">
        <f t="shared" si="2"/>
        <v>0</v>
      </c>
      <c r="U14" s="342">
        <f t="shared" si="2"/>
        <v>0</v>
      </c>
      <c r="V14" s="342">
        <f t="shared" si="2"/>
        <v>552690.05776600004</v>
      </c>
    </row>
    <row r="15" spans="1:39" s="830" customFormat="1" ht="28.5" customHeight="1">
      <c r="A15" s="843" t="s">
        <v>892</v>
      </c>
      <c r="B15" s="857" t="s">
        <v>893</v>
      </c>
      <c r="C15" s="846"/>
      <c r="D15" s="843"/>
      <c r="E15" s="844"/>
      <c r="F15" s="844"/>
      <c r="G15" s="342">
        <f>SUBTOTAL(9,G16:G25)</f>
        <v>0</v>
      </c>
      <c r="H15" s="342">
        <f t="shared" ref="H15:V15" si="3">SUBTOTAL(9,H16:H25)</f>
        <v>0</v>
      </c>
      <c r="I15" s="342">
        <f t="shared" si="3"/>
        <v>0</v>
      </c>
      <c r="J15" s="342">
        <f t="shared" si="3"/>
        <v>0</v>
      </c>
      <c r="K15" s="342">
        <f t="shared" si="3"/>
        <v>935888.94223399996</v>
      </c>
      <c r="L15" s="342">
        <f t="shared" si="3"/>
        <v>0</v>
      </c>
      <c r="M15" s="342">
        <f t="shared" si="3"/>
        <v>0</v>
      </c>
      <c r="N15" s="342">
        <f t="shared" si="3"/>
        <v>935888.94223399996</v>
      </c>
      <c r="O15" s="342">
        <f t="shared" si="3"/>
        <v>935888.94223399996</v>
      </c>
      <c r="P15" s="342">
        <f t="shared" si="3"/>
        <v>0</v>
      </c>
      <c r="Q15" s="342">
        <f t="shared" si="3"/>
        <v>0</v>
      </c>
      <c r="R15" s="342">
        <f t="shared" si="3"/>
        <v>935888.94223399996</v>
      </c>
      <c r="S15" s="342">
        <f t="shared" si="3"/>
        <v>235066.05776599998</v>
      </c>
      <c r="T15" s="342">
        <f t="shared" si="3"/>
        <v>0</v>
      </c>
      <c r="U15" s="342">
        <f t="shared" si="3"/>
        <v>0</v>
      </c>
      <c r="V15" s="342">
        <f t="shared" si="3"/>
        <v>235066.05776599998</v>
      </c>
    </row>
    <row r="16" spans="1:39">
      <c r="A16" s="847">
        <v>1</v>
      </c>
      <c r="B16" s="848" t="s">
        <v>894</v>
      </c>
      <c r="C16" s="849"/>
      <c r="D16" s="850"/>
      <c r="E16" s="850"/>
      <c r="F16" s="851"/>
      <c r="G16" s="852">
        <f t="shared" ref="G16:G25" si="4">SUM(H16:J16)</f>
        <v>0</v>
      </c>
      <c r="H16" s="852"/>
      <c r="I16" s="852"/>
      <c r="J16" s="852"/>
      <c r="K16" s="852">
        <f t="shared" ref="K16:K25" si="5">SUM(L16:N16)</f>
        <v>401439.94223400002</v>
      </c>
      <c r="L16" s="852"/>
      <c r="M16" s="852"/>
      <c r="N16" s="852">
        <v>401439.94223400002</v>
      </c>
      <c r="O16" s="852">
        <f t="shared" ref="O16:O25" si="6">SUM(P16:R16)</f>
        <v>401439.94223400002</v>
      </c>
      <c r="P16" s="852"/>
      <c r="Q16" s="852"/>
      <c r="R16" s="852">
        <v>401439.94223400002</v>
      </c>
      <c r="S16" s="852">
        <f t="shared" ref="S16:S25" si="7">SUM(T16:V16)</f>
        <v>77040.057765999998</v>
      </c>
      <c r="T16" s="853" t="s">
        <v>848</v>
      </c>
      <c r="U16" s="853" t="s">
        <v>848</v>
      </c>
      <c r="V16" s="853">
        <v>77040.057765999998</v>
      </c>
    </row>
    <row r="17" spans="1:24">
      <c r="A17" s="847">
        <v>2</v>
      </c>
      <c r="B17" s="854" t="s">
        <v>895</v>
      </c>
      <c r="C17" s="849"/>
      <c r="D17" s="850"/>
      <c r="E17" s="850"/>
      <c r="F17" s="851"/>
      <c r="G17" s="852">
        <f t="shared" si="4"/>
        <v>0</v>
      </c>
      <c r="H17" s="852"/>
      <c r="I17" s="852"/>
      <c r="J17" s="852"/>
      <c r="K17" s="852">
        <f t="shared" si="5"/>
        <v>73380</v>
      </c>
      <c r="L17" s="852"/>
      <c r="M17" s="852"/>
      <c r="N17" s="852">
        <v>73380</v>
      </c>
      <c r="O17" s="852">
        <f t="shared" si="6"/>
        <v>73380</v>
      </c>
      <c r="P17" s="852"/>
      <c r="Q17" s="852"/>
      <c r="R17" s="852">
        <v>73380</v>
      </c>
      <c r="S17" s="852">
        <f t="shared" si="7"/>
        <v>23550</v>
      </c>
      <c r="T17" s="853" t="s">
        <v>848</v>
      </c>
      <c r="U17" s="853" t="s">
        <v>848</v>
      </c>
      <c r="V17" s="853">
        <v>23550</v>
      </c>
      <c r="X17" s="855"/>
    </row>
    <row r="18" spans="1:24">
      <c r="A18" s="847">
        <v>3</v>
      </c>
      <c r="B18" s="854" t="s">
        <v>859</v>
      </c>
      <c r="C18" s="849"/>
      <c r="D18" s="850"/>
      <c r="E18" s="850"/>
      <c r="F18" s="851"/>
      <c r="G18" s="852">
        <f t="shared" si="4"/>
        <v>0</v>
      </c>
      <c r="H18" s="852"/>
      <c r="I18" s="852"/>
      <c r="J18" s="852"/>
      <c r="K18" s="852">
        <f t="shared" si="5"/>
        <v>66275</v>
      </c>
      <c r="L18" s="852"/>
      <c r="M18" s="852"/>
      <c r="N18" s="852">
        <v>66275</v>
      </c>
      <c r="O18" s="852">
        <f t="shared" si="6"/>
        <v>66275</v>
      </c>
      <c r="P18" s="852"/>
      <c r="Q18" s="852"/>
      <c r="R18" s="852">
        <v>66275</v>
      </c>
      <c r="S18" s="852">
        <f t="shared" si="7"/>
        <v>20730</v>
      </c>
      <c r="T18" s="853" t="s">
        <v>848</v>
      </c>
      <c r="U18" s="853" t="s">
        <v>848</v>
      </c>
      <c r="V18" s="853">
        <v>20730</v>
      </c>
      <c r="W18" s="855"/>
      <c r="X18" s="855"/>
    </row>
    <row r="19" spans="1:24">
      <c r="A19" s="847">
        <v>4</v>
      </c>
      <c r="B19" s="854" t="s">
        <v>192</v>
      </c>
      <c r="C19" s="849"/>
      <c r="D19" s="850"/>
      <c r="E19" s="850"/>
      <c r="F19" s="851"/>
      <c r="G19" s="852">
        <f t="shared" si="4"/>
        <v>0</v>
      </c>
      <c r="H19" s="852"/>
      <c r="I19" s="852"/>
      <c r="J19" s="852"/>
      <c r="K19" s="852">
        <f t="shared" si="5"/>
        <v>51400</v>
      </c>
      <c r="L19" s="852"/>
      <c r="M19" s="852"/>
      <c r="N19" s="852">
        <v>51400</v>
      </c>
      <c r="O19" s="852">
        <f t="shared" si="6"/>
        <v>51400</v>
      </c>
      <c r="P19" s="852"/>
      <c r="Q19" s="852"/>
      <c r="R19" s="852">
        <v>51400</v>
      </c>
      <c r="S19" s="852">
        <f t="shared" si="7"/>
        <v>10460</v>
      </c>
      <c r="T19" s="853" t="s">
        <v>848</v>
      </c>
      <c r="U19" s="853" t="s">
        <v>848</v>
      </c>
      <c r="V19" s="853">
        <v>10460</v>
      </c>
      <c r="W19" s="855"/>
    </row>
    <row r="20" spans="1:24">
      <c r="A20" s="847">
        <v>5</v>
      </c>
      <c r="B20" s="854" t="s">
        <v>857</v>
      </c>
      <c r="C20" s="849"/>
      <c r="D20" s="850"/>
      <c r="E20" s="850"/>
      <c r="F20" s="851"/>
      <c r="G20" s="852">
        <f t="shared" si="4"/>
        <v>0</v>
      </c>
      <c r="H20" s="852"/>
      <c r="I20" s="852"/>
      <c r="J20" s="852"/>
      <c r="K20" s="852">
        <f t="shared" si="5"/>
        <v>51614</v>
      </c>
      <c r="L20" s="852"/>
      <c r="M20" s="852"/>
      <c r="N20" s="852">
        <v>51614</v>
      </c>
      <c r="O20" s="852">
        <f t="shared" si="6"/>
        <v>51614</v>
      </c>
      <c r="P20" s="852"/>
      <c r="Q20" s="852"/>
      <c r="R20" s="852">
        <v>51614</v>
      </c>
      <c r="S20" s="852">
        <f t="shared" si="7"/>
        <v>10406</v>
      </c>
      <c r="T20" s="853" t="s">
        <v>848</v>
      </c>
      <c r="U20" s="853" t="s">
        <v>848</v>
      </c>
      <c r="V20" s="853">
        <v>10406</v>
      </c>
    </row>
    <row r="21" spans="1:24">
      <c r="A21" s="847">
        <v>6</v>
      </c>
      <c r="B21" s="856" t="s">
        <v>855</v>
      </c>
      <c r="C21" s="849"/>
      <c r="D21" s="850"/>
      <c r="E21" s="850"/>
      <c r="F21" s="851"/>
      <c r="G21" s="852">
        <f t="shared" si="4"/>
        <v>0</v>
      </c>
      <c r="H21" s="852"/>
      <c r="I21" s="852"/>
      <c r="J21" s="852"/>
      <c r="K21" s="852">
        <f t="shared" si="5"/>
        <v>53160</v>
      </c>
      <c r="L21" s="852"/>
      <c r="M21" s="852"/>
      <c r="N21" s="852">
        <v>53160</v>
      </c>
      <c r="O21" s="852">
        <f t="shared" si="6"/>
        <v>53160</v>
      </c>
      <c r="P21" s="852"/>
      <c r="Q21" s="852"/>
      <c r="R21" s="852">
        <v>53160</v>
      </c>
      <c r="S21" s="852">
        <f t="shared" si="7"/>
        <v>10900</v>
      </c>
      <c r="T21" s="853" t="s">
        <v>848</v>
      </c>
      <c r="U21" s="853" t="s">
        <v>848</v>
      </c>
      <c r="V21" s="853">
        <v>10900</v>
      </c>
    </row>
    <row r="22" spans="1:24">
      <c r="A22" s="847">
        <v>7</v>
      </c>
      <c r="B22" s="854" t="s">
        <v>856</v>
      </c>
      <c r="C22" s="849"/>
      <c r="D22" s="850"/>
      <c r="E22" s="850"/>
      <c r="F22" s="851"/>
      <c r="G22" s="852">
        <f t="shared" si="4"/>
        <v>0</v>
      </c>
      <c r="H22" s="852"/>
      <c r="I22" s="852"/>
      <c r="J22" s="852"/>
      <c r="K22" s="852">
        <f t="shared" si="5"/>
        <v>50318</v>
      </c>
      <c r="L22" s="852"/>
      <c r="M22" s="852"/>
      <c r="N22" s="852">
        <v>50318</v>
      </c>
      <c r="O22" s="852">
        <f t="shared" si="6"/>
        <v>50318</v>
      </c>
      <c r="P22" s="852"/>
      <c r="Q22" s="852"/>
      <c r="R22" s="852">
        <v>50318</v>
      </c>
      <c r="S22" s="852">
        <f t="shared" si="7"/>
        <v>10497</v>
      </c>
      <c r="T22" s="853" t="s">
        <v>848</v>
      </c>
      <c r="U22" s="853" t="s">
        <v>848</v>
      </c>
      <c r="V22" s="853">
        <v>10497</v>
      </c>
    </row>
    <row r="23" spans="1:24">
      <c r="A23" s="847">
        <v>8</v>
      </c>
      <c r="B23" s="848" t="s">
        <v>279</v>
      </c>
      <c r="C23" s="849"/>
      <c r="D23" s="850"/>
      <c r="E23" s="850"/>
      <c r="F23" s="851"/>
      <c r="G23" s="852">
        <f t="shared" si="4"/>
        <v>0</v>
      </c>
      <c r="H23" s="852"/>
      <c r="I23" s="852"/>
      <c r="J23" s="852"/>
      <c r="K23" s="852">
        <f t="shared" si="5"/>
        <v>44194</v>
      </c>
      <c r="L23" s="852"/>
      <c r="M23" s="852"/>
      <c r="N23" s="852">
        <v>44194</v>
      </c>
      <c r="O23" s="852">
        <f t="shared" si="6"/>
        <v>44194</v>
      </c>
      <c r="P23" s="852"/>
      <c r="Q23" s="852"/>
      <c r="R23" s="852">
        <v>44194</v>
      </c>
      <c r="S23" s="852">
        <f t="shared" si="7"/>
        <v>8596</v>
      </c>
      <c r="T23" s="853" t="s">
        <v>848</v>
      </c>
      <c r="U23" s="853" t="s">
        <v>848</v>
      </c>
      <c r="V23" s="853">
        <v>8596</v>
      </c>
    </row>
    <row r="24" spans="1:24">
      <c r="A24" s="847">
        <v>9</v>
      </c>
      <c r="B24" s="854" t="s">
        <v>190</v>
      </c>
      <c r="C24" s="849"/>
      <c r="D24" s="850"/>
      <c r="E24" s="850"/>
      <c r="F24" s="851"/>
      <c r="G24" s="852">
        <f t="shared" si="4"/>
        <v>0</v>
      </c>
      <c r="H24" s="852"/>
      <c r="I24" s="852"/>
      <c r="J24" s="852"/>
      <c r="K24" s="852">
        <f t="shared" si="5"/>
        <v>46092</v>
      </c>
      <c r="L24" s="852"/>
      <c r="M24" s="852"/>
      <c r="N24" s="852">
        <v>46092</v>
      </c>
      <c r="O24" s="852">
        <f t="shared" si="6"/>
        <v>46092</v>
      </c>
      <c r="P24" s="852"/>
      <c r="Q24" s="852"/>
      <c r="R24" s="852">
        <v>46092</v>
      </c>
      <c r="S24" s="852">
        <f t="shared" si="7"/>
        <v>12263</v>
      </c>
      <c r="T24" s="853" t="s">
        <v>848</v>
      </c>
      <c r="U24" s="853" t="s">
        <v>848</v>
      </c>
      <c r="V24" s="853">
        <v>12263</v>
      </c>
    </row>
    <row r="25" spans="1:24">
      <c r="A25" s="847">
        <v>10</v>
      </c>
      <c r="B25" s="848" t="s">
        <v>712</v>
      </c>
      <c r="C25" s="849"/>
      <c r="D25" s="850"/>
      <c r="E25" s="850"/>
      <c r="F25" s="851"/>
      <c r="G25" s="852">
        <f t="shared" si="4"/>
        <v>0</v>
      </c>
      <c r="H25" s="852"/>
      <c r="I25" s="852"/>
      <c r="J25" s="852"/>
      <c r="K25" s="852">
        <f t="shared" si="5"/>
        <v>98016</v>
      </c>
      <c r="L25" s="852"/>
      <c r="M25" s="852"/>
      <c r="N25" s="852">
        <v>98016</v>
      </c>
      <c r="O25" s="852">
        <f t="shared" si="6"/>
        <v>98016</v>
      </c>
      <c r="P25" s="852"/>
      <c r="Q25" s="852"/>
      <c r="R25" s="852">
        <v>98016</v>
      </c>
      <c r="S25" s="852">
        <f t="shared" si="7"/>
        <v>50624</v>
      </c>
      <c r="T25" s="853" t="s">
        <v>848</v>
      </c>
      <c r="U25" s="853" t="s">
        <v>848</v>
      </c>
      <c r="V25" s="853">
        <v>50624</v>
      </c>
    </row>
    <row r="26" spans="1:24" s="830" customFormat="1">
      <c r="A26" s="843" t="s">
        <v>896</v>
      </c>
      <c r="B26" s="841" t="s">
        <v>897</v>
      </c>
      <c r="C26" s="846"/>
      <c r="D26" s="843"/>
      <c r="E26" s="844"/>
      <c r="F26" s="844"/>
      <c r="G26" s="342">
        <f t="shared" ref="G26:V26" si="8">SUBTOTAL(9,G27:G58)</f>
        <v>1873623</v>
      </c>
      <c r="H26" s="342">
        <f t="shared" si="8"/>
        <v>0</v>
      </c>
      <c r="I26" s="342">
        <f t="shared" si="8"/>
        <v>0</v>
      </c>
      <c r="J26" s="342">
        <f t="shared" si="8"/>
        <v>1076253</v>
      </c>
      <c r="K26" s="342">
        <f t="shared" si="8"/>
        <v>164548.6</v>
      </c>
      <c r="L26" s="342">
        <f t="shared" si="8"/>
        <v>0</v>
      </c>
      <c r="M26" s="342">
        <f t="shared" si="8"/>
        <v>0</v>
      </c>
      <c r="N26" s="342">
        <f t="shared" si="8"/>
        <v>164548.6</v>
      </c>
      <c r="O26" s="342">
        <f t="shared" si="8"/>
        <v>164549</v>
      </c>
      <c r="P26" s="342">
        <f t="shared" si="8"/>
        <v>0</v>
      </c>
      <c r="Q26" s="342">
        <f t="shared" si="8"/>
        <v>0</v>
      </c>
      <c r="R26" s="342">
        <f t="shared" si="8"/>
        <v>164549</v>
      </c>
      <c r="S26" s="342">
        <f t="shared" si="8"/>
        <v>317624</v>
      </c>
      <c r="T26" s="342">
        <f t="shared" si="8"/>
        <v>0</v>
      </c>
      <c r="U26" s="342">
        <f t="shared" si="8"/>
        <v>0</v>
      </c>
      <c r="V26" s="342">
        <f t="shared" si="8"/>
        <v>317624</v>
      </c>
      <c r="X26" s="1012"/>
    </row>
    <row r="27" spans="1:24" s="830" customFormat="1" ht="24.6" customHeight="1">
      <c r="A27" s="857">
        <v>1</v>
      </c>
      <c r="B27" s="845" t="s">
        <v>397</v>
      </c>
      <c r="C27" s="857"/>
      <c r="D27" s="857"/>
      <c r="E27" s="857"/>
      <c r="F27" s="857"/>
      <c r="G27" s="342">
        <f t="shared" ref="G27:V27" si="9">SUBTOTAL(9,G28:G32)</f>
        <v>94515</v>
      </c>
      <c r="H27" s="342">
        <f t="shared" si="9"/>
        <v>0</v>
      </c>
      <c r="I27" s="342">
        <f t="shared" si="9"/>
        <v>0</v>
      </c>
      <c r="J27" s="342">
        <f t="shared" si="9"/>
        <v>94515</v>
      </c>
      <c r="K27" s="342">
        <f t="shared" si="9"/>
        <v>29018</v>
      </c>
      <c r="L27" s="342">
        <f t="shared" si="9"/>
        <v>0</v>
      </c>
      <c r="M27" s="342">
        <f t="shared" si="9"/>
        <v>0</v>
      </c>
      <c r="N27" s="342">
        <f t="shared" si="9"/>
        <v>29018</v>
      </c>
      <c r="O27" s="342">
        <f t="shared" si="9"/>
        <v>29018</v>
      </c>
      <c r="P27" s="342">
        <f t="shared" si="9"/>
        <v>0</v>
      </c>
      <c r="Q27" s="342">
        <f t="shared" si="9"/>
        <v>0</v>
      </c>
      <c r="R27" s="342">
        <f t="shared" si="9"/>
        <v>29018</v>
      </c>
      <c r="S27" s="342">
        <f t="shared" si="9"/>
        <v>50123</v>
      </c>
      <c r="T27" s="342">
        <f t="shared" si="9"/>
        <v>0</v>
      </c>
      <c r="U27" s="342">
        <f t="shared" si="9"/>
        <v>0</v>
      </c>
      <c r="V27" s="342">
        <f t="shared" si="9"/>
        <v>50123</v>
      </c>
    </row>
    <row r="28" spans="1:24" s="888" customFormat="1" ht="34.15" customHeight="1">
      <c r="A28" s="884" t="s">
        <v>19</v>
      </c>
      <c r="B28" s="885" t="s">
        <v>898</v>
      </c>
      <c r="C28" s="886">
        <v>7004686</v>
      </c>
      <c r="D28" s="887"/>
      <c r="E28" s="887" t="s">
        <v>899</v>
      </c>
      <c r="F28" s="887" t="s">
        <v>900</v>
      </c>
      <c r="G28" s="852">
        <f>SUM(H28:J28)</f>
        <v>38815</v>
      </c>
      <c r="H28" s="852"/>
      <c r="I28" s="852"/>
      <c r="J28" s="852">
        <v>38815</v>
      </c>
      <c r="K28" s="852">
        <f>SUM(L28:N28)</f>
        <v>14254</v>
      </c>
      <c r="L28" s="852"/>
      <c r="M28" s="852"/>
      <c r="N28" s="852">
        <v>14254</v>
      </c>
      <c r="O28" s="852">
        <f>SUM(P28:R28)</f>
        <v>14254</v>
      </c>
      <c r="P28" s="852"/>
      <c r="Q28" s="852"/>
      <c r="R28" s="852">
        <v>14254</v>
      </c>
      <c r="S28" s="852">
        <f>SUM(T28:V28)</f>
        <v>24561</v>
      </c>
      <c r="T28" s="853" t="s">
        <v>848</v>
      </c>
      <c r="U28" s="853" t="s">
        <v>848</v>
      </c>
      <c r="V28" s="1003">
        <f>13491+11070</f>
        <v>24561</v>
      </c>
    </row>
    <row r="29" spans="1:24" s="888" customFormat="1" ht="41.45" customHeight="1">
      <c r="A29" s="884" t="s">
        <v>19</v>
      </c>
      <c r="B29" s="886" t="s">
        <v>901</v>
      </c>
      <c r="C29" s="886">
        <v>7004686</v>
      </c>
      <c r="D29" s="887" t="s">
        <v>902</v>
      </c>
      <c r="E29" s="887"/>
      <c r="F29" s="887" t="s">
        <v>903</v>
      </c>
      <c r="G29" s="889">
        <v>40000</v>
      </c>
      <c r="H29" s="889"/>
      <c r="I29" s="889"/>
      <c r="J29" s="889">
        <v>40000</v>
      </c>
      <c r="K29" s="852">
        <f>SUM(L29:N29)</f>
        <v>11500</v>
      </c>
      <c r="L29" s="852"/>
      <c r="M29" s="852"/>
      <c r="N29" s="852">
        <v>11500</v>
      </c>
      <c r="O29" s="852">
        <f>SUM(P29:R29)</f>
        <v>11500</v>
      </c>
      <c r="P29" s="852"/>
      <c r="Q29" s="852"/>
      <c r="R29" s="852">
        <v>11500</v>
      </c>
      <c r="S29" s="852">
        <f>SUM(T29:V29)</f>
        <v>13276</v>
      </c>
      <c r="T29" s="853" t="s">
        <v>848</v>
      </c>
      <c r="U29" s="853" t="s">
        <v>848</v>
      </c>
      <c r="V29" s="1003">
        <f>10000+3276</f>
        <v>13276</v>
      </c>
    </row>
    <row r="30" spans="1:24" s="888" customFormat="1" ht="32.450000000000003" customHeight="1">
      <c r="A30" s="884" t="s">
        <v>19</v>
      </c>
      <c r="B30" s="886" t="s">
        <v>904</v>
      </c>
      <c r="C30" s="886">
        <v>7004686</v>
      </c>
      <c r="D30" s="887" t="s">
        <v>902</v>
      </c>
      <c r="E30" s="887"/>
      <c r="F30" s="887" t="s">
        <v>905</v>
      </c>
      <c r="G30" s="852">
        <f>SUM(H30:J30)</f>
        <v>4600</v>
      </c>
      <c r="H30" s="889"/>
      <c r="I30" s="889"/>
      <c r="J30" s="889">
        <v>4600</v>
      </c>
      <c r="K30" s="852">
        <f>SUM(L30:N30)</f>
        <v>575</v>
      </c>
      <c r="L30" s="852"/>
      <c r="M30" s="852"/>
      <c r="N30" s="852">
        <v>575</v>
      </c>
      <c r="O30" s="852">
        <f>SUM(P30:R30)</f>
        <v>575</v>
      </c>
      <c r="P30" s="852"/>
      <c r="Q30" s="852"/>
      <c r="R30" s="852">
        <v>575</v>
      </c>
      <c r="S30" s="852">
        <f>SUM(T30:V30)</f>
        <v>3975</v>
      </c>
      <c r="T30" s="853" t="s">
        <v>848</v>
      </c>
      <c r="U30" s="853" t="s">
        <v>848</v>
      </c>
      <c r="V30" s="853">
        <v>3975</v>
      </c>
    </row>
    <row r="31" spans="1:24" s="888" customFormat="1" ht="32.450000000000003" customHeight="1">
      <c r="A31" s="884" t="s">
        <v>19</v>
      </c>
      <c r="B31" s="886" t="s">
        <v>906</v>
      </c>
      <c r="C31" s="886">
        <v>7004686</v>
      </c>
      <c r="D31" s="887" t="s">
        <v>902</v>
      </c>
      <c r="E31" s="887"/>
      <c r="F31" s="887" t="s">
        <v>907</v>
      </c>
      <c r="G31" s="852">
        <f>SUM(H31:J31)</f>
        <v>5400</v>
      </c>
      <c r="H31" s="889"/>
      <c r="I31" s="889"/>
      <c r="J31" s="889">
        <v>5400</v>
      </c>
      <c r="K31" s="852">
        <f>SUM(L31:N31)</f>
        <v>978</v>
      </c>
      <c r="L31" s="852"/>
      <c r="M31" s="852"/>
      <c r="N31" s="852">
        <v>978</v>
      </c>
      <c r="O31" s="852">
        <f>SUM(P31:R31)</f>
        <v>978</v>
      </c>
      <c r="P31" s="852"/>
      <c r="Q31" s="852"/>
      <c r="R31" s="852">
        <v>978</v>
      </c>
      <c r="S31" s="852">
        <f>SUM(T31:V31)</f>
        <v>4372</v>
      </c>
      <c r="T31" s="853" t="s">
        <v>848</v>
      </c>
      <c r="U31" s="853" t="s">
        <v>848</v>
      </c>
      <c r="V31" s="853">
        <v>4372</v>
      </c>
    </row>
    <row r="32" spans="1:24" s="888" customFormat="1" ht="32.450000000000003" customHeight="1">
      <c r="A32" s="884" t="s">
        <v>19</v>
      </c>
      <c r="B32" s="886" t="s">
        <v>908</v>
      </c>
      <c r="C32" s="886">
        <v>7004686</v>
      </c>
      <c r="D32" s="887" t="s">
        <v>909</v>
      </c>
      <c r="E32" s="887"/>
      <c r="F32" s="887" t="s">
        <v>910</v>
      </c>
      <c r="G32" s="852">
        <f>SUM(H32:J32)</f>
        <v>5700</v>
      </c>
      <c r="H32" s="889"/>
      <c r="I32" s="889"/>
      <c r="J32" s="889">
        <v>5700</v>
      </c>
      <c r="K32" s="852">
        <f>SUM(L32:N32)</f>
        <v>1711</v>
      </c>
      <c r="L32" s="852"/>
      <c r="M32" s="852"/>
      <c r="N32" s="852">
        <v>1711</v>
      </c>
      <c r="O32" s="852">
        <f>SUM(P32:R32)</f>
        <v>1711</v>
      </c>
      <c r="P32" s="852"/>
      <c r="Q32" s="852"/>
      <c r="R32" s="852">
        <v>1711</v>
      </c>
      <c r="S32" s="852">
        <f>SUM(T32:V32)</f>
        <v>3939</v>
      </c>
      <c r="T32" s="853" t="s">
        <v>848</v>
      </c>
      <c r="U32" s="853" t="s">
        <v>848</v>
      </c>
      <c r="V32" s="853">
        <v>3939</v>
      </c>
    </row>
    <row r="33" spans="1:22" s="830" customFormat="1">
      <c r="A33" s="857">
        <v>2</v>
      </c>
      <c r="B33" s="845" t="s">
        <v>268</v>
      </c>
      <c r="C33" s="857"/>
      <c r="D33" s="857"/>
      <c r="E33" s="857"/>
      <c r="F33" s="857"/>
      <c r="G33" s="342">
        <f>SUBTOTAL(9,G34)</f>
        <v>205000</v>
      </c>
      <c r="H33" s="342">
        <f t="shared" ref="H33:V33" si="10">SUBTOTAL(9,H34)</f>
        <v>0</v>
      </c>
      <c r="I33" s="342">
        <f t="shared" si="10"/>
        <v>0</v>
      </c>
      <c r="J33" s="342">
        <f t="shared" si="10"/>
        <v>79000</v>
      </c>
      <c r="K33" s="342">
        <f t="shared" si="10"/>
        <v>0</v>
      </c>
      <c r="L33" s="342">
        <f t="shared" si="10"/>
        <v>0</v>
      </c>
      <c r="M33" s="342">
        <f t="shared" si="10"/>
        <v>0</v>
      </c>
      <c r="N33" s="342">
        <f t="shared" si="10"/>
        <v>0</v>
      </c>
      <c r="O33" s="342">
        <f t="shared" si="10"/>
        <v>0</v>
      </c>
      <c r="P33" s="342">
        <f t="shared" si="10"/>
        <v>0</v>
      </c>
      <c r="Q33" s="342">
        <f t="shared" si="10"/>
        <v>0</v>
      </c>
      <c r="R33" s="342">
        <f t="shared" si="10"/>
        <v>0</v>
      </c>
      <c r="S33" s="342">
        <f t="shared" si="10"/>
        <v>29000</v>
      </c>
      <c r="T33" s="342">
        <f t="shared" si="10"/>
        <v>0</v>
      </c>
      <c r="U33" s="342">
        <f t="shared" si="10"/>
        <v>0</v>
      </c>
      <c r="V33" s="342">
        <f t="shared" si="10"/>
        <v>29000</v>
      </c>
    </row>
    <row r="34" spans="1:22" s="888" customFormat="1" ht="38.25">
      <c r="A34" s="884" t="s">
        <v>19</v>
      </c>
      <c r="B34" s="886" t="s">
        <v>911</v>
      </c>
      <c r="C34" s="887">
        <v>7551864</v>
      </c>
      <c r="D34" s="887" t="s">
        <v>912</v>
      </c>
      <c r="E34" s="887" t="s">
        <v>913</v>
      </c>
      <c r="F34" s="887" t="s">
        <v>914</v>
      </c>
      <c r="G34" s="890">
        <v>205000</v>
      </c>
      <c r="H34" s="890"/>
      <c r="I34" s="890"/>
      <c r="J34" s="890">
        <v>79000</v>
      </c>
      <c r="K34" s="852">
        <f>SUM(L34:N34)</f>
        <v>0</v>
      </c>
      <c r="L34" s="852"/>
      <c r="M34" s="852"/>
      <c r="N34" s="852"/>
      <c r="O34" s="852">
        <f>SUM(P34:R34)</f>
        <v>0</v>
      </c>
      <c r="P34" s="852"/>
      <c r="Q34" s="852"/>
      <c r="R34" s="852"/>
      <c r="S34" s="852">
        <f>SUM(T34:V34)</f>
        <v>29000</v>
      </c>
      <c r="T34" s="853" t="s">
        <v>848</v>
      </c>
      <c r="U34" s="853" t="s">
        <v>848</v>
      </c>
      <c r="V34" s="1003">
        <f>30000-1000</f>
        <v>29000</v>
      </c>
    </row>
    <row r="35" spans="1:22" s="830" customFormat="1">
      <c r="A35" s="857">
        <v>3</v>
      </c>
      <c r="B35" s="845" t="s">
        <v>916</v>
      </c>
      <c r="C35" s="857"/>
      <c r="D35" s="857"/>
      <c r="E35" s="857"/>
      <c r="F35" s="857"/>
      <c r="G35" s="342">
        <f>SUBTOTAL(9,G36:G36)</f>
        <v>321072</v>
      </c>
      <c r="H35" s="342">
        <f t="shared" ref="H35:I35" si="11">SUBTOTAL(9,H36)</f>
        <v>0</v>
      </c>
      <c r="I35" s="342">
        <f t="shared" si="11"/>
        <v>0</v>
      </c>
      <c r="J35" s="342">
        <f t="shared" ref="J35:V35" si="12">SUBTOTAL(9,J36:J36)</f>
        <v>75262</v>
      </c>
      <c r="K35" s="342">
        <f t="shared" si="12"/>
        <v>9000</v>
      </c>
      <c r="L35" s="342">
        <f t="shared" si="12"/>
        <v>0</v>
      </c>
      <c r="M35" s="342">
        <f t="shared" si="12"/>
        <v>0</v>
      </c>
      <c r="N35" s="342">
        <f t="shared" si="12"/>
        <v>9000</v>
      </c>
      <c r="O35" s="342">
        <f t="shared" si="12"/>
        <v>9000</v>
      </c>
      <c r="P35" s="342">
        <f t="shared" si="12"/>
        <v>0</v>
      </c>
      <c r="Q35" s="342">
        <f t="shared" si="12"/>
        <v>0</v>
      </c>
      <c r="R35" s="342">
        <f t="shared" si="12"/>
        <v>9000</v>
      </c>
      <c r="S35" s="342">
        <f t="shared" si="12"/>
        <v>18000</v>
      </c>
      <c r="T35" s="342">
        <f t="shared" si="12"/>
        <v>0</v>
      </c>
      <c r="U35" s="342">
        <f t="shared" si="12"/>
        <v>0</v>
      </c>
      <c r="V35" s="342">
        <f t="shared" si="12"/>
        <v>18000</v>
      </c>
    </row>
    <row r="36" spans="1:22" s="888" customFormat="1" ht="38.25">
      <c r="A36" s="884" t="s">
        <v>19</v>
      </c>
      <c r="B36" s="886" t="s">
        <v>917</v>
      </c>
      <c r="C36" s="887"/>
      <c r="D36" s="887" t="s">
        <v>915</v>
      </c>
      <c r="E36" s="887"/>
      <c r="F36" s="887" t="s">
        <v>918</v>
      </c>
      <c r="G36" s="890">
        <v>321072</v>
      </c>
      <c r="H36" s="890"/>
      <c r="I36" s="890"/>
      <c r="J36" s="890">
        <v>75262</v>
      </c>
      <c r="K36" s="852">
        <f>SUM(L36:N36)</f>
        <v>9000</v>
      </c>
      <c r="L36" s="852"/>
      <c r="M36" s="852"/>
      <c r="N36" s="852">
        <v>9000</v>
      </c>
      <c r="O36" s="852">
        <f>SUM(P36:R36)</f>
        <v>9000</v>
      </c>
      <c r="P36" s="852"/>
      <c r="Q36" s="852"/>
      <c r="R36" s="852">
        <v>9000</v>
      </c>
      <c r="S36" s="852">
        <f>SUM(T36:V36)</f>
        <v>18000</v>
      </c>
      <c r="T36" s="853" t="s">
        <v>848</v>
      </c>
      <c r="U36" s="853" t="s">
        <v>848</v>
      </c>
      <c r="V36" s="1003">
        <f>10000+8000</f>
        <v>18000</v>
      </c>
    </row>
    <row r="37" spans="1:22" s="830" customFormat="1">
      <c r="A37" s="857">
        <v>4</v>
      </c>
      <c r="B37" s="845" t="s">
        <v>840</v>
      </c>
      <c r="C37" s="857"/>
      <c r="D37" s="857"/>
      <c r="E37" s="857"/>
      <c r="F37" s="857"/>
      <c r="G37" s="342">
        <f t="shared" ref="G37:V37" si="13">SUBTOTAL(9,G38:G38)</f>
        <v>26910</v>
      </c>
      <c r="H37" s="342">
        <f t="shared" si="13"/>
        <v>0</v>
      </c>
      <c r="I37" s="342">
        <f t="shared" si="13"/>
        <v>0</v>
      </c>
      <c r="J37" s="342">
        <f t="shared" si="13"/>
        <v>26910</v>
      </c>
      <c r="K37" s="342">
        <f t="shared" si="13"/>
        <v>0</v>
      </c>
      <c r="L37" s="342">
        <f t="shared" si="13"/>
        <v>0</v>
      </c>
      <c r="M37" s="342">
        <f t="shared" si="13"/>
        <v>0</v>
      </c>
      <c r="N37" s="342">
        <f t="shared" si="13"/>
        <v>0</v>
      </c>
      <c r="O37" s="342">
        <f t="shared" si="13"/>
        <v>0</v>
      </c>
      <c r="P37" s="342">
        <f t="shared" si="13"/>
        <v>0</v>
      </c>
      <c r="Q37" s="342">
        <f t="shared" si="13"/>
        <v>0</v>
      </c>
      <c r="R37" s="342">
        <f t="shared" si="13"/>
        <v>0</v>
      </c>
      <c r="S37" s="342">
        <f t="shared" si="13"/>
        <v>25900</v>
      </c>
      <c r="T37" s="342">
        <f t="shared" si="13"/>
        <v>0</v>
      </c>
      <c r="U37" s="342">
        <f t="shared" si="13"/>
        <v>0</v>
      </c>
      <c r="V37" s="342">
        <f t="shared" si="13"/>
        <v>25900</v>
      </c>
    </row>
    <row r="38" spans="1:22" s="888" customFormat="1" ht="39.6" customHeight="1">
      <c r="A38" s="884" t="s">
        <v>19</v>
      </c>
      <c r="B38" s="885" t="s">
        <v>919</v>
      </c>
      <c r="C38" s="887"/>
      <c r="D38" s="887" t="s">
        <v>912</v>
      </c>
      <c r="E38" s="887"/>
      <c r="F38" s="887" t="s">
        <v>920</v>
      </c>
      <c r="G38" s="890">
        <v>26910</v>
      </c>
      <c r="H38" s="890"/>
      <c r="I38" s="890"/>
      <c r="J38" s="890">
        <v>26910</v>
      </c>
      <c r="K38" s="852">
        <f>SUM(L38:N38)</f>
        <v>0</v>
      </c>
      <c r="L38" s="852"/>
      <c r="M38" s="852"/>
      <c r="N38" s="852"/>
      <c r="O38" s="852">
        <f>SUM(P38:R38)</f>
        <v>0</v>
      </c>
      <c r="P38" s="852"/>
      <c r="Q38" s="852"/>
      <c r="R38" s="852"/>
      <c r="S38" s="852">
        <f>SUM(T38:V38)</f>
        <v>25900</v>
      </c>
      <c r="T38" s="853" t="s">
        <v>848</v>
      </c>
      <c r="U38" s="853" t="s">
        <v>848</v>
      </c>
      <c r="V38" s="853">
        <v>25900</v>
      </c>
    </row>
    <row r="39" spans="1:22" s="830" customFormat="1">
      <c r="A39" s="857">
        <v>5</v>
      </c>
      <c r="B39" s="845" t="s">
        <v>921</v>
      </c>
      <c r="C39" s="857"/>
      <c r="D39" s="857"/>
      <c r="E39" s="857"/>
      <c r="F39" s="857"/>
      <c r="G39" s="342">
        <f>SUBTOTAL(9,G40)</f>
        <v>90000</v>
      </c>
      <c r="H39" s="342">
        <f t="shared" ref="H39:V39" si="14">SUBTOTAL(9,H40)</f>
        <v>0</v>
      </c>
      <c r="I39" s="342">
        <f t="shared" si="14"/>
        <v>0</v>
      </c>
      <c r="J39" s="342">
        <f t="shared" si="14"/>
        <v>90000</v>
      </c>
      <c r="K39" s="342">
        <f t="shared" si="14"/>
        <v>13000</v>
      </c>
      <c r="L39" s="342">
        <f t="shared" si="14"/>
        <v>0</v>
      </c>
      <c r="M39" s="342">
        <f t="shared" si="14"/>
        <v>0</v>
      </c>
      <c r="N39" s="342">
        <f t="shared" si="14"/>
        <v>13000</v>
      </c>
      <c r="O39" s="342">
        <f t="shared" si="14"/>
        <v>13000</v>
      </c>
      <c r="P39" s="342">
        <f t="shared" si="14"/>
        <v>0</v>
      </c>
      <c r="Q39" s="342">
        <f t="shared" si="14"/>
        <v>0</v>
      </c>
      <c r="R39" s="342">
        <f t="shared" si="14"/>
        <v>13000</v>
      </c>
      <c r="S39" s="342">
        <f t="shared" si="14"/>
        <v>15000</v>
      </c>
      <c r="T39" s="342">
        <f t="shared" si="14"/>
        <v>0</v>
      </c>
      <c r="U39" s="342">
        <f t="shared" si="14"/>
        <v>0</v>
      </c>
      <c r="V39" s="342">
        <f t="shared" si="14"/>
        <v>15000</v>
      </c>
    </row>
    <row r="40" spans="1:22" s="888" customFormat="1" ht="28.5" customHeight="1">
      <c r="A40" s="884" t="s">
        <v>19</v>
      </c>
      <c r="B40" s="885" t="s">
        <v>922</v>
      </c>
      <c r="C40" s="891">
        <v>7863854</v>
      </c>
      <c r="D40" s="887" t="s">
        <v>912</v>
      </c>
      <c r="E40" s="887" t="s">
        <v>923</v>
      </c>
      <c r="F40" s="887" t="s">
        <v>924</v>
      </c>
      <c r="G40" s="852">
        <f>SUM(H40:J40)</f>
        <v>90000</v>
      </c>
      <c r="H40" s="852"/>
      <c r="I40" s="852"/>
      <c r="J40" s="852">
        <v>90000</v>
      </c>
      <c r="K40" s="852">
        <f>SUM(L40:N40)</f>
        <v>13000</v>
      </c>
      <c r="L40" s="852"/>
      <c r="M40" s="852"/>
      <c r="N40" s="852">
        <v>13000</v>
      </c>
      <c r="O40" s="852">
        <f>SUM(P40:R40)</f>
        <v>13000</v>
      </c>
      <c r="P40" s="852"/>
      <c r="Q40" s="852"/>
      <c r="R40" s="852">
        <v>13000</v>
      </c>
      <c r="S40" s="852">
        <f>SUM(T40:V40)</f>
        <v>15000</v>
      </c>
      <c r="T40" s="853" t="s">
        <v>848</v>
      </c>
      <c r="U40" s="853" t="s">
        <v>848</v>
      </c>
      <c r="V40" s="1003">
        <f>10000+5000</f>
        <v>15000</v>
      </c>
    </row>
    <row r="41" spans="1:22" s="893" customFormat="1" ht="49.5" customHeight="1">
      <c r="A41" s="857">
        <v>6</v>
      </c>
      <c r="B41" s="892" t="s">
        <v>180</v>
      </c>
      <c r="C41" s="857"/>
      <c r="D41" s="857"/>
      <c r="E41" s="857"/>
      <c r="F41" s="857"/>
      <c r="G41" s="342">
        <f>SUBTOTAL(9,G42:G43)</f>
        <v>544126</v>
      </c>
      <c r="H41" s="342">
        <f t="shared" ref="H41:V41" si="15">SUBTOTAL(9,H42:H43)</f>
        <v>0</v>
      </c>
      <c r="I41" s="342">
        <f t="shared" si="15"/>
        <v>0</v>
      </c>
      <c r="J41" s="342">
        <f t="shared" si="15"/>
        <v>544126</v>
      </c>
      <c r="K41" s="342">
        <f t="shared" si="15"/>
        <v>17379</v>
      </c>
      <c r="L41" s="342">
        <f t="shared" si="15"/>
        <v>0</v>
      </c>
      <c r="M41" s="342">
        <f t="shared" si="15"/>
        <v>0</v>
      </c>
      <c r="N41" s="342">
        <f t="shared" si="15"/>
        <v>17379</v>
      </c>
      <c r="O41" s="342">
        <f t="shared" si="15"/>
        <v>17379</v>
      </c>
      <c r="P41" s="342">
        <f t="shared" si="15"/>
        <v>0</v>
      </c>
      <c r="Q41" s="342">
        <f t="shared" si="15"/>
        <v>0</v>
      </c>
      <c r="R41" s="342">
        <f t="shared" si="15"/>
        <v>17379</v>
      </c>
      <c r="S41" s="342">
        <f t="shared" si="15"/>
        <v>101741</v>
      </c>
      <c r="T41" s="342">
        <f t="shared" si="15"/>
        <v>0</v>
      </c>
      <c r="U41" s="342">
        <f t="shared" si="15"/>
        <v>0</v>
      </c>
      <c r="V41" s="342">
        <f t="shared" si="15"/>
        <v>101741</v>
      </c>
    </row>
    <row r="42" spans="1:22" s="888" customFormat="1" ht="45.6" customHeight="1">
      <c r="A42" s="884" t="s">
        <v>19</v>
      </c>
      <c r="B42" s="886" t="s">
        <v>925</v>
      </c>
      <c r="C42" s="887">
        <v>7601892</v>
      </c>
      <c r="D42" s="887" t="s">
        <v>912</v>
      </c>
      <c r="E42" s="887"/>
      <c r="F42" s="858" t="s">
        <v>1160</v>
      </c>
      <c r="G42" s="852">
        <f>SUM(H42:J42)</f>
        <v>87000</v>
      </c>
      <c r="H42" s="852"/>
      <c r="I42" s="852"/>
      <c r="J42" s="852">
        <v>87000</v>
      </c>
      <c r="K42" s="852">
        <f>SUM(L42:N42)</f>
        <v>7500</v>
      </c>
      <c r="L42" s="852"/>
      <c r="M42" s="852"/>
      <c r="N42" s="852">
        <v>7500</v>
      </c>
      <c r="O42" s="852">
        <f>SUM(P42:R42)</f>
        <v>7500</v>
      </c>
      <c r="P42" s="852"/>
      <c r="Q42" s="852"/>
      <c r="R42" s="852">
        <v>7500</v>
      </c>
      <c r="S42" s="852">
        <f>SUM(T42:V42)</f>
        <v>19500</v>
      </c>
      <c r="T42" s="853" t="s">
        <v>848</v>
      </c>
      <c r="U42" s="853" t="s">
        <v>848</v>
      </c>
      <c r="V42" s="853">
        <v>19500</v>
      </c>
    </row>
    <row r="43" spans="1:22" s="888" customFormat="1" ht="41.45" customHeight="1">
      <c r="A43" s="884" t="s">
        <v>19</v>
      </c>
      <c r="B43" s="886" t="s">
        <v>926</v>
      </c>
      <c r="C43" s="849"/>
      <c r="D43" s="887" t="s">
        <v>912</v>
      </c>
      <c r="E43" s="850"/>
      <c r="F43" s="894" t="s">
        <v>927</v>
      </c>
      <c r="G43" s="895">
        <v>457126</v>
      </c>
      <c r="H43" s="895"/>
      <c r="I43" s="895"/>
      <c r="J43" s="896">
        <v>457126</v>
      </c>
      <c r="K43" s="852">
        <f>SUM(L43:N43)</f>
        <v>9879</v>
      </c>
      <c r="L43" s="852"/>
      <c r="M43" s="852"/>
      <c r="N43" s="852">
        <v>9879</v>
      </c>
      <c r="O43" s="852">
        <f>SUM(P43:R43)</f>
        <v>9879</v>
      </c>
      <c r="P43" s="852"/>
      <c r="Q43" s="852"/>
      <c r="R43" s="852">
        <v>9879</v>
      </c>
      <c r="S43" s="852">
        <f>SUM(T43:V43)</f>
        <v>82241</v>
      </c>
      <c r="T43" s="853" t="s">
        <v>848</v>
      </c>
      <c r="U43" s="853" t="s">
        <v>848</v>
      </c>
      <c r="V43" s="853">
        <v>82241</v>
      </c>
    </row>
    <row r="44" spans="1:22" s="830" customFormat="1" ht="25.5">
      <c r="A44" s="857">
        <v>7</v>
      </c>
      <c r="B44" s="892" t="s">
        <v>928</v>
      </c>
      <c r="C44" s="857"/>
      <c r="D44" s="857"/>
      <c r="E44" s="857"/>
      <c r="F44" s="857"/>
      <c r="G44" s="342">
        <f>SUBTOTAL(9,G45)</f>
        <v>38840</v>
      </c>
      <c r="H44" s="342">
        <f t="shared" ref="H44:V44" si="16">SUBTOTAL(9,H45)</f>
        <v>0</v>
      </c>
      <c r="I44" s="342">
        <f t="shared" si="16"/>
        <v>0</v>
      </c>
      <c r="J44" s="342">
        <f t="shared" si="16"/>
        <v>38840</v>
      </c>
      <c r="K44" s="342">
        <f t="shared" si="16"/>
        <v>30000</v>
      </c>
      <c r="L44" s="342">
        <f t="shared" si="16"/>
        <v>0</v>
      </c>
      <c r="M44" s="342">
        <f t="shared" si="16"/>
        <v>0</v>
      </c>
      <c r="N44" s="342">
        <f t="shared" si="16"/>
        <v>30000</v>
      </c>
      <c r="O44" s="342">
        <f t="shared" si="16"/>
        <v>30000</v>
      </c>
      <c r="P44" s="342">
        <f t="shared" si="16"/>
        <v>0</v>
      </c>
      <c r="Q44" s="342">
        <f t="shared" si="16"/>
        <v>0</v>
      </c>
      <c r="R44" s="342">
        <f t="shared" si="16"/>
        <v>30000</v>
      </c>
      <c r="S44" s="342">
        <f t="shared" si="16"/>
        <v>8840</v>
      </c>
      <c r="T44" s="342">
        <f t="shared" si="16"/>
        <v>0</v>
      </c>
      <c r="U44" s="342">
        <f t="shared" si="16"/>
        <v>0</v>
      </c>
      <c r="V44" s="342">
        <f t="shared" si="16"/>
        <v>8840</v>
      </c>
    </row>
    <row r="45" spans="1:22" s="888" customFormat="1" ht="43.5" customHeight="1">
      <c r="A45" s="884" t="s">
        <v>19</v>
      </c>
      <c r="B45" s="885" t="s">
        <v>929</v>
      </c>
      <c r="C45" s="887">
        <v>7910754</v>
      </c>
      <c r="D45" s="887" t="s">
        <v>902</v>
      </c>
      <c r="E45" s="887" t="s">
        <v>913</v>
      </c>
      <c r="F45" s="887" t="s">
        <v>930</v>
      </c>
      <c r="G45" s="890">
        <v>38840</v>
      </c>
      <c r="H45" s="890"/>
      <c r="I45" s="890"/>
      <c r="J45" s="890">
        <v>38840</v>
      </c>
      <c r="K45" s="852">
        <f>SUM(L45:N45)</f>
        <v>30000</v>
      </c>
      <c r="L45" s="852"/>
      <c r="M45" s="852"/>
      <c r="N45" s="852">
        <v>30000</v>
      </c>
      <c r="O45" s="852">
        <f>SUM(P45:R45)</f>
        <v>30000</v>
      </c>
      <c r="P45" s="852"/>
      <c r="Q45" s="852"/>
      <c r="R45" s="852">
        <v>30000</v>
      </c>
      <c r="S45" s="852">
        <f>SUM(T45:V45)</f>
        <v>8840</v>
      </c>
      <c r="T45" s="853" t="s">
        <v>848</v>
      </c>
      <c r="U45" s="853" t="s">
        <v>848</v>
      </c>
      <c r="V45" s="853">
        <v>8840</v>
      </c>
    </row>
    <row r="46" spans="1:22" s="893" customFormat="1">
      <c r="A46" s="857">
        <v>8</v>
      </c>
      <c r="B46" s="845" t="s">
        <v>863</v>
      </c>
      <c r="C46" s="857"/>
      <c r="D46" s="857"/>
      <c r="E46" s="857"/>
      <c r="F46" s="857"/>
      <c r="G46" s="342">
        <f>SUBTOTAL(9,G47)</f>
        <v>9800</v>
      </c>
      <c r="H46" s="342">
        <f t="shared" ref="H46:V46" si="17">SUBTOTAL(9,H47)</f>
        <v>0</v>
      </c>
      <c r="I46" s="342">
        <f t="shared" si="17"/>
        <v>0</v>
      </c>
      <c r="J46" s="342">
        <f t="shared" si="17"/>
        <v>9800</v>
      </c>
      <c r="K46" s="342">
        <f t="shared" si="17"/>
        <v>2900</v>
      </c>
      <c r="L46" s="342">
        <f t="shared" si="17"/>
        <v>0</v>
      </c>
      <c r="M46" s="342">
        <f t="shared" si="17"/>
        <v>0</v>
      </c>
      <c r="N46" s="342">
        <f t="shared" si="17"/>
        <v>2900</v>
      </c>
      <c r="O46" s="342">
        <f t="shared" si="17"/>
        <v>2900</v>
      </c>
      <c r="P46" s="342">
        <f t="shared" si="17"/>
        <v>0</v>
      </c>
      <c r="Q46" s="342">
        <f t="shared" si="17"/>
        <v>0</v>
      </c>
      <c r="R46" s="342">
        <f t="shared" si="17"/>
        <v>2900</v>
      </c>
      <c r="S46" s="342">
        <f t="shared" si="17"/>
        <v>6900</v>
      </c>
      <c r="T46" s="342">
        <f t="shared" si="17"/>
        <v>0</v>
      </c>
      <c r="U46" s="342">
        <f t="shared" si="17"/>
        <v>0</v>
      </c>
      <c r="V46" s="342">
        <f t="shared" si="17"/>
        <v>6900</v>
      </c>
    </row>
    <row r="47" spans="1:22" ht="43.5" customHeight="1">
      <c r="A47" s="884" t="s">
        <v>19</v>
      </c>
      <c r="B47" s="885" t="s">
        <v>931</v>
      </c>
      <c r="C47" s="887">
        <v>7910754</v>
      </c>
      <c r="D47" s="887" t="s">
        <v>912</v>
      </c>
      <c r="E47" s="887"/>
      <c r="F47" s="887" t="s">
        <v>932</v>
      </c>
      <c r="G47" s="890">
        <v>9800</v>
      </c>
      <c r="H47" s="890"/>
      <c r="I47" s="890"/>
      <c r="J47" s="890">
        <v>9800</v>
      </c>
      <c r="K47" s="852">
        <f>SUM(L47:N47)</f>
        <v>2900</v>
      </c>
      <c r="L47" s="852"/>
      <c r="M47" s="852"/>
      <c r="N47" s="852">
        <v>2900</v>
      </c>
      <c r="O47" s="852">
        <f>SUM(P47:R47)</f>
        <v>2900</v>
      </c>
      <c r="P47" s="852"/>
      <c r="Q47" s="852"/>
      <c r="R47" s="852">
        <v>2900</v>
      </c>
      <c r="S47" s="852">
        <f>SUM(T47:V47)</f>
        <v>6900</v>
      </c>
      <c r="T47" s="853" t="s">
        <v>848</v>
      </c>
      <c r="U47" s="853" t="s">
        <v>848</v>
      </c>
      <c r="V47" s="853">
        <v>6900</v>
      </c>
    </row>
    <row r="48" spans="1:22" s="893" customFormat="1" ht="18.95" customHeight="1">
      <c r="A48" s="857">
        <v>9</v>
      </c>
      <c r="B48" s="845" t="s">
        <v>190</v>
      </c>
      <c r="C48" s="857"/>
      <c r="D48" s="857"/>
      <c r="E48" s="857"/>
      <c r="F48" s="857"/>
      <c r="G48" s="342">
        <f t="shared" ref="G48:V48" si="18">SUBTOTAL(9,G49:G49)</f>
        <v>150000</v>
      </c>
      <c r="H48" s="342">
        <f t="shared" si="18"/>
        <v>0</v>
      </c>
      <c r="I48" s="342">
        <f t="shared" si="18"/>
        <v>0</v>
      </c>
      <c r="J48" s="342">
        <f t="shared" si="18"/>
        <v>12800</v>
      </c>
      <c r="K48" s="342">
        <f t="shared" si="18"/>
        <v>0</v>
      </c>
      <c r="L48" s="342">
        <f t="shared" si="18"/>
        <v>0</v>
      </c>
      <c r="M48" s="342">
        <f t="shared" si="18"/>
        <v>0</v>
      </c>
      <c r="N48" s="342">
        <f t="shared" si="18"/>
        <v>0</v>
      </c>
      <c r="O48" s="342">
        <f t="shared" si="18"/>
        <v>0</v>
      </c>
      <c r="P48" s="342">
        <f t="shared" si="18"/>
        <v>0</v>
      </c>
      <c r="Q48" s="342">
        <f t="shared" si="18"/>
        <v>0</v>
      </c>
      <c r="R48" s="342">
        <f t="shared" si="18"/>
        <v>0</v>
      </c>
      <c r="S48" s="342">
        <f t="shared" si="18"/>
        <v>12800</v>
      </c>
      <c r="T48" s="342">
        <f t="shared" si="18"/>
        <v>0</v>
      </c>
      <c r="U48" s="342">
        <f t="shared" si="18"/>
        <v>0</v>
      </c>
      <c r="V48" s="342">
        <f t="shared" si="18"/>
        <v>12800</v>
      </c>
    </row>
    <row r="49" spans="1:22" s="888" customFormat="1" ht="39.6" customHeight="1">
      <c r="A49" s="884" t="s">
        <v>19</v>
      </c>
      <c r="B49" s="897" t="s">
        <v>933</v>
      </c>
      <c r="C49" s="898">
        <v>7898002</v>
      </c>
      <c r="D49" s="887" t="s">
        <v>934</v>
      </c>
      <c r="E49" s="887"/>
      <c r="F49" s="894" t="s">
        <v>935</v>
      </c>
      <c r="G49" s="852">
        <v>150000</v>
      </c>
      <c r="H49" s="852"/>
      <c r="I49" s="852"/>
      <c r="J49" s="852">
        <v>12800</v>
      </c>
      <c r="K49" s="852">
        <f>SUM(L49:N49)</f>
        <v>0</v>
      </c>
      <c r="L49" s="852"/>
      <c r="M49" s="852"/>
      <c r="N49" s="852">
        <v>0</v>
      </c>
      <c r="O49" s="852">
        <f>SUM(P49:R49)</f>
        <v>0</v>
      </c>
      <c r="P49" s="852"/>
      <c r="Q49" s="852"/>
      <c r="R49" s="852">
        <v>0</v>
      </c>
      <c r="S49" s="852">
        <f>SUM(T49:V49)</f>
        <v>12800</v>
      </c>
      <c r="T49" s="853" t="s">
        <v>848</v>
      </c>
      <c r="U49" s="853" t="s">
        <v>848</v>
      </c>
      <c r="V49" s="853">
        <v>12800</v>
      </c>
    </row>
    <row r="50" spans="1:22" s="893" customFormat="1" ht="18.95" customHeight="1">
      <c r="A50" s="857">
        <v>10</v>
      </c>
      <c r="B50" s="845" t="s">
        <v>857</v>
      </c>
      <c r="C50" s="857"/>
      <c r="D50" s="857"/>
      <c r="E50" s="857"/>
      <c r="F50" s="857"/>
      <c r="G50" s="342">
        <f>SUBTOTAL(9,G51:G51)</f>
        <v>246000</v>
      </c>
      <c r="H50" s="342">
        <f t="shared" ref="H50:V50" si="19">SUBTOTAL(9,H51:H51)</f>
        <v>0</v>
      </c>
      <c r="I50" s="342">
        <f t="shared" si="19"/>
        <v>0</v>
      </c>
      <c r="J50" s="342">
        <f t="shared" si="19"/>
        <v>20000</v>
      </c>
      <c r="K50" s="342">
        <f t="shared" si="19"/>
        <v>15516</v>
      </c>
      <c r="L50" s="342">
        <f t="shared" si="19"/>
        <v>0</v>
      </c>
      <c r="M50" s="342">
        <f t="shared" si="19"/>
        <v>0</v>
      </c>
      <c r="N50" s="342">
        <f t="shared" si="19"/>
        <v>15516</v>
      </c>
      <c r="O50" s="342">
        <f t="shared" si="19"/>
        <v>15516</v>
      </c>
      <c r="P50" s="342">
        <f t="shared" si="19"/>
        <v>0</v>
      </c>
      <c r="Q50" s="342">
        <f t="shared" si="19"/>
        <v>0</v>
      </c>
      <c r="R50" s="342">
        <f t="shared" si="19"/>
        <v>15516</v>
      </c>
      <c r="S50" s="342">
        <f t="shared" si="19"/>
        <v>4484</v>
      </c>
      <c r="T50" s="342">
        <f t="shared" si="19"/>
        <v>0</v>
      </c>
      <c r="U50" s="342">
        <f t="shared" si="19"/>
        <v>0</v>
      </c>
      <c r="V50" s="342">
        <f t="shared" si="19"/>
        <v>4484</v>
      </c>
    </row>
    <row r="51" spans="1:22" s="888" customFormat="1" ht="27" customHeight="1">
      <c r="A51" s="884" t="s">
        <v>19</v>
      </c>
      <c r="B51" s="899" t="s">
        <v>936</v>
      </c>
      <c r="C51" s="898">
        <v>7898002</v>
      </c>
      <c r="D51" s="887" t="s">
        <v>937</v>
      </c>
      <c r="E51" s="887"/>
      <c r="F51" s="894" t="s">
        <v>938</v>
      </c>
      <c r="G51" s="852">
        <v>246000</v>
      </c>
      <c r="H51" s="852"/>
      <c r="I51" s="852">
        <v>0</v>
      </c>
      <c r="J51" s="852">
        <v>20000</v>
      </c>
      <c r="K51" s="852">
        <f>SUM(L51:N51)</f>
        <v>15516</v>
      </c>
      <c r="L51" s="852"/>
      <c r="M51" s="852"/>
      <c r="N51" s="852">
        <v>15516</v>
      </c>
      <c r="O51" s="852">
        <f>SUM(P51:R51)</f>
        <v>15516</v>
      </c>
      <c r="P51" s="852"/>
      <c r="Q51" s="852"/>
      <c r="R51" s="852">
        <v>15516</v>
      </c>
      <c r="S51" s="852">
        <f>SUM(T51:V51)</f>
        <v>4484</v>
      </c>
      <c r="T51" s="853" t="s">
        <v>848</v>
      </c>
      <c r="U51" s="853" t="s">
        <v>848</v>
      </c>
      <c r="V51" s="853">
        <v>4484</v>
      </c>
    </row>
    <row r="52" spans="1:22" s="893" customFormat="1" ht="18.95" customHeight="1">
      <c r="A52" s="857">
        <v>11</v>
      </c>
      <c r="B52" s="845" t="s">
        <v>712</v>
      </c>
      <c r="C52" s="857"/>
      <c r="D52" s="857"/>
      <c r="E52" s="857"/>
      <c r="F52" s="857"/>
      <c r="G52" s="342">
        <f>SUBTOTAL(9,G53:G53)</f>
        <v>60810</v>
      </c>
      <c r="H52" s="342">
        <f t="shared" ref="H52:V52" si="20">SUBTOTAL(9,H53:H53)</f>
        <v>0</v>
      </c>
      <c r="I52" s="342">
        <f t="shared" si="20"/>
        <v>0</v>
      </c>
      <c r="J52" s="342">
        <f t="shared" si="20"/>
        <v>15000</v>
      </c>
      <c r="K52" s="342">
        <f t="shared" si="20"/>
        <v>0</v>
      </c>
      <c r="L52" s="342">
        <f t="shared" si="20"/>
        <v>0</v>
      </c>
      <c r="M52" s="342">
        <f t="shared" si="20"/>
        <v>0</v>
      </c>
      <c r="N52" s="342">
        <f t="shared" si="20"/>
        <v>0</v>
      </c>
      <c r="O52" s="342">
        <f t="shared" si="20"/>
        <v>0</v>
      </c>
      <c r="P52" s="342">
        <f t="shared" si="20"/>
        <v>0</v>
      </c>
      <c r="Q52" s="342">
        <f t="shared" si="20"/>
        <v>0</v>
      </c>
      <c r="R52" s="342">
        <f t="shared" si="20"/>
        <v>0</v>
      </c>
      <c r="S52" s="342">
        <f t="shared" si="20"/>
        <v>15000</v>
      </c>
      <c r="T52" s="342">
        <f t="shared" si="20"/>
        <v>0</v>
      </c>
      <c r="U52" s="342">
        <f t="shared" si="20"/>
        <v>0</v>
      </c>
      <c r="V52" s="342">
        <f t="shared" si="20"/>
        <v>15000</v>
      </c>
    </row>
    <row r="53" spans="1:22" s="888" customFormat="1" ht="33" customHeight="1">
      <c r="A53" s="884" t="s">
        <v>19</v>
      </c>
      <c r="B53" s="885" t="s">
        <v>939</v>
      </c>
      <c r="C53" s="898">
        <v>7898002</v>
      </c>
      <c r="D53" s="887" t="s">
        <v>940</v>
      </c>
      <c r="E53" s="887"/>
      <c r="F53" s="887" t="s">
        <v>941</v>
      </c>
      <c r="G53" s="852">
        <v>60810</v>
      </c>
      <c r="H53" s="852"/>
      <c r="I53" s="852"/>
      <c r="J53" s="852">
        <v>15000</v>
      </c>
      <c r="K53" s="852">
        <f>SUM(L53:N53)</f>
        <v>0</v>
      </c>
      <c r="L53" s="852"/>
      <c r="M53" s="852"/>
      <c r="N53" s="852"/>
      <c r="O53" s="852">
        <f>SUM(P53:R53)</f>
        <v>0</v>
      </c>
      <c r="P53" s="852"/>
      <c r="Q53" s="852"/>
      <c r="R53" s="852"/>
      <c r="S53" s="852">
        <f>SUM(T53:V53)</f>
        <v>15000</v>
      </c>
      <c r="T53" s="853" t="s">
        <v>848</v>
      </c>
      <c r="U53" s="853" t="s">
        <v>848</v>
      </c>
      <c r="V53" s="853">
        <v>15000</v>
      </c>
    </row>
    <row r="54" spans="1:22" s="893" customFormat="1" ht="18.95" customHeight="1">
      <c r="A54" s="857">
        <v>12</v>
      </c>
      <c r="B54" s="845" t="s">
        <v>855</v>
      </c>
      <c r="C54" s="857"/>
      <c r="D54" s="857"/>
      <c r="E54" s="857"/>
      <c r="F54" s="857"/>
      <c r="G54" s="342">
        <f>SUBTOTAL(9,G55:G55)</f>
        <v>86550</v>
      </c>
      <c r="H54" s="342">
        <f t="shared" ref="H54:V54" si="21">SUBTOTAL(9,H55:H55)</f>
        <v>0</v>
      </c>
      <c r="I54" s="342">
        <f t="shared" si="21"/>
        <v>0</v>
      </c>
      <c r="J54" s="342">
        <f t="shared" si="21"/>
        <v>70000</v>
      </c>
      <c r="K54" s="342">
        <f t="shared" si="21"/>
        <v>12958</v>
      </c>
      <c r="L54" s="342">
        <f t="shared" si="21"/>
        <v>0</v>
      </c>
      <c r="M54" s="342">
        <f t="shared" si="21"/>
        <v>0</v>
      </c>
      <c r="N54" s="342">
        <f t="shared" si="21"/>
        <v>12958</v>
      </c>
      <c r="O54" s="342">
        <f t="shared" si="21"/>
        <v>12958</v>
      </c>
      <c r="P54" s="342">
        <f t="shared" si="21"/>
        <v>0</v>
      </c>
      <c r="Q54" s="342">
        <f t="shared" si="21"/>
        <v>0</v>
      </c>
      <c r="R54" s="342">
        <f t="shared" si="21"/>
        <v>12958</v>
      </c>
      <c r="S54" s="342">
        <f t="shared" si="21"/>
        <v>12042</v>
      </c>
      <c r="T54" s="342">
        <f t="shared" si="21"/>
        <v>0</v>
      </c>
      <c r="U54" s="342">
        <f t="shared" si="21"/>
        <v>0</v>
      </c>
      <c r="V54" s="342">
        <f t="shared" si="21"/>
        <v>12042</v>
      </c>
    </row>
    <row r="55" spans="1:22" s="888" customFormat="1" ht="50.45" customHeight="1">
      <c r="A55" s="884" t="s">
        <v>19</v>
      </c>
      <c r="B55" s="886" t="s">
        <v>942</v>
      </c>
      <c r="C55" s="898">
        <v>7898002</v>
      </c>
      <c r="D55" s="887" t="s">
        <v>943</v>
      </c>
      <c r="E55" s="887"/>
      <c r="F55" s="887" t="s">
        <v>944</v>
      </c>
      <c r="G55" s="852">
        <v>86550</v>
      </c>
      <c r="H55" s="852"/>
      <c r="I55" s="852"/>
      <c r="J55" s="852">
        <v>70000</v>
      </c>
      <c r="K55" s="852">
        <f>SUM(L55:N55)</f>
        <v>12958</v>
      </c>
      <c r="L55" s="852"/>
      <c r="M55" s="852"/>
      <c r="N55" s="852">
        <v>12958</v>
      </c>
      <c r="O55" s="852">
        <f t="shared" ref="O55" si="22">SUM(P55:R55)</f>
        <v>12958</v>
      </c>
      <c r="P55" s="852"/>
      <c r="Q55" s="852"/>
      <c r="R55" s="852">
        <v>12958</v>
      </c>
      <c r="S55" s="852">
        <f>SUM(T55:V55)</f>
        <v>12042</v>
      </c>
      <c r="T55" s="853" t="s">
        <v>848</v>
      </c>
      <c r="U55" s="853" t="s">
        <v>848</v>
      </c>
      <c r="V55" s="853">
        <v>12042</v>
      </c>
    </row>
    <row r="56" spans="1:22" s="888" customFormat="1">
      <c r="A56" s="857">
        <v>13</v>
      </c>
      <c r="B56" s="900" t="s">
        <v>945</v>
      </c>
      <c r="C56" s="887"/>
      <c r="D56" s="887"/>
      <c r="E56" s="887"/>
      <c r="F56" s="887"/>
      <c r="G56" s="342">
        <f>SUBTOTAL(9,G57:G58)</f>
        <v>0</v>
      </c>
      <c r="H56" s="342">
        <f t="shared" ref="H56:V56" si="23">SUBTOTAL(9,H57:H58)</f>
        <v>0</v>
      </c>
      <c r="I56" s="342">
        <f t="shared" si="23"/>
        <v>0</v>
      </c>
      <c r="J56" s="342">
        <f t="shared" si="23"/>
        <v>0</v>
      </c>
      <c r="K56" s="342">
        <f t="shared" si="23"/>
        <v>34777.599999999999</v>
      </c>
      <c r="L56" s="342">
        <f t="shared" si="23"/>
        <v>0</v>
      </c>
      <c r="M56" s="342">
        <f t="shared" si="23"/>
        <v>0</v>
      </c>
      <c r="N56" s="342">
        <f t="shared" si="23"/>
        <v>34777.599999999999</v>
      </c>
      <c r="O56" s="342">
        <f t="shared" si="23"/>
        <v>34778</v>
      </c>
      <c r="P56" s="342">
        <f t="shared" si="23"/>
        <v>0</v>
      </c>
      <c r="Q56" s="342">
        <f t="shared" si="23"/>
        <v>0</v>
      </c>
      <c r="R56" s="342">
        <f t="shared" si="23"/>
        <v>34778</v>
      </c>
      <c r="S56" s="342">
        <f t="shared" si="23"/>
        <v>17794</v>
      </c>
      <c r="T56" s="342">
        <f t="shared" si="23"/>
        <v>0</v>
      </c>
      <c r="U56" s="342">
        <f t="shared" si="23"/>
        <v>0</v>
      </c>
      <c r="V56" s="342">
        <f t="shared" si="23"/>
        <v>17794</v>
      </c>
    </row>
    <row r="57" spans="1:22" s="888" customFormat="1">
      <c r="A57" s="884" t="s">
        <v>19</v>
      </c>
      <c r="B57" s="885" t="s">
        <v>946</v>
      </c>
      <c r="C57" s="887"/>
      <c r="D57" s="887"/>
      <c r="E57" s="887"/>
      <c r="F57" s="887"/>
      <c r="G57" s="852">
        <f>SUM(H57:J57)</f>
        <v>0</v>
      </c>
      <c r="H57" s="852"/>
      <c r="I57" s="852"/>
      <c r="J57" s="852">
        <v>0</v>
      </c>
      <c r="K57" s="852">
        <f>SUM(L57:N57)</f>
        <v>19777.599999999999</v>
      </c>
      <c r="L57" s="852"/>
      <c r="M57" s="852"/>
      <c r="N57" s="852">
        <f>19778-0.4</f>
        <v>19777.599999999999</v>
      </c>
      <c r="O57" s="852">
        <f>SUM(P57:R57)</f>
        <v>19778</v>
      </c>
      <c r="P57" s="852"/>
      <c r="Q57" s="852"/>
      <c r="R57" s="852">
        <v>19778</v>
      </c>
      <c r="S57" s="852">
        <f>SUM(T57:V57)</f>
        <v>2794</v>
      </c>
      <c r="T57" s="853" t="s">
        <v>848</v>
      </c>
      <c r="U57" s="853" t="s">
        <v>848</v>
      </c>
      <c r="V57" s="1003">
        <f>500+2294</f>
        <v>2794</v>
      </c>
    </row>
    <row r="58" spans="1:22" s="888" customFormat="1" ht="30" customHeight="1">
      <c r="A58" s="884" t="s">
        <v>19</v>
      </c>
      <c r="B58" s="885" t="s">
        <v>947</v>
      </c>
      <c r="C58" s="887"/>
      <c r="D58" s="887"/>
      <c r="E58" s="887"/>
      <c r="F58" s="887"/>
      <c r="G58" s="852">
        <f>SUM(H58:J58)</f>
        <v>0</v>
      </c>
      <c r="H58" s="852"/>
      <c r="I58" s="852"/>
      <c r="J58" s="852">
        <v>0</v>
      </c>
      <c r="K58" s="852">
        <f>SUM(L58:N58)</f>
        <v>15000</v>
      </c>
      <c r="L58" s="852"/>
      <c r="M58" s="852"/>
      <c r="N58" s="852">
        <v>15000</v>
      </c>
      <c r="O58" s="852">
        <f>SUM(P58:R58)</f>
        <v>15000</v>
      </c>
      <c r="P58" s="852"/>
      <c r="Q58" s="852"/>
      <c r="R58" s="852">
        <v>15000</v>
      </c>
      <c r="S58" s="852">
        <f>SUM(T58:V58)</f>
        <v>15000</v>
      </c>
      <c r="T58" s="853" t="s">
        <v>848</v>
      </c>
      <c r="U58" s="853" t="s">
        <v>848</v>
      </c>
      <c r="V58" s="853">
        <v>15000</v>
      </c>
    </row>
    <row r="59" spans="1:22" s="893" customFormat="1" ht="15" customHeight="1">
      <c r="A59" s="843" t="s">
        <v>948</v>
      </c>
      <c r="B59" s="857" t="s">
        <v>949</v>
      </c>
      <c r="C59" s="901"/>
      <c r="D59" s="902"/>
      <c r="E59" s="902"/>
      <c r="F59" s="844"/>
      <c r="G59" s="342">
        <f t="shared" ref="G59:R59" si="24">SUBTOTAL(9,G60:G104)</f>
        <v>4374019</v>
      </c>
      <c r="H59" s="342">
        <f t="shared" si="24"/>
        <v>0</v>
      </c>
      <c r="I59" s="342">
        <f t="shared" si="24"/>
        <v>0</v>
      </c>
      <c r="J59" s="342">
        <f t="shared" si="24"/>
        <v>2462636</v>
      </c>
      <c r="K59" s="342">
        <f t="shared" si="24"/>
        <v>212182.39999999999</v>
      </c>
      <c r="L59" s="342">
        <f t="shared" si="24"/>
        <v>0</v>
      </c>
      <c r="M59" s="342">
        <f t="shared" si="24"/>
        <v>0</v>
      </c>
      <c r="N59" s="342">
        <f t="shared" si="24"/>
        <v>212182.39999999999</v>
      </c>
      <c r="O59" s="342">
        <f t="shared" si="24"/>
        <v>212182</v>
      </c>
      <c r="P59" s="342">
        <f t="shared" si="24"/>
        <v>0</v>
      </c>
      <c r="Q59" s="342">
        <f t="shared" si="24"/>
        <v>0</v>
      </c>
      <c r="R59" s="342">
        <f t="shared" si="24"/>
        <v>212182</v>
      </c>
      <c r="S59" s="342">
        <f>SUBTOTAL(9,S60:S74)</f>
        <v>390000</v>
      </c>
      <c r="T59" s="342">
        <f t="shared" ref="T59:V59" si="25">SUBTOTAL(9,T60:T74)</f>
        <v>0</v>
      </c>
      <c r="U59" s="342">
        <f t="shared" si="25"/>
        <v>0</v>
      </c>
      <c r="V59" s="342">
        <f t="shared" si="25"/>
        <v>390000</v>
      </c>
    </row>
    <row r="60" spans="1:22" s="830" customFormat="1" ht="37.15" customHeight="1">
      <c r="A60" s="843" t="s">
        <v>382</v>
      </c>
      <c r="B60" s="857" t="s">
        <v>950</v>
      </c>
      <c r="C60" s="901"/>
      <c r="D60" s="902"/>
      <c r="E60" s="902"/>
      <c r="F60" s="844"/>
      <c r="G60" s="342">
        <f>SUBTOTAL(9,G61:G70)</f>
        <v>0</v>
      </c>
      <c r="H60" s="342">
        <f t="shared" ref="H60:R60" si="26">SUBTOTAL(9,H61:H70)</f>
        <v>0</v>
      </c>
      <c r="I60" s="342">
        <f t="shared" si="26"/>
        <v>0</v>
      </c>
      <c r="J60" s="342">
        <f t="shared" si="26"/>
        <v>0</v>
      </c>
      <c r="K60" s="342">
        <f t="shared" si="26"/>
        <v>0</v>
      </c>
      <c r="L60" s="342">
        <f t="shared" si="26"/>
        <v>0</v>
      </c>
      <c r="M60" s="342">
        <f t="shared" si="26"/>
        <v>0</v>
      </c>
      <c r="N60" s="342">
        <f t="shared" si="26"/>
        <v>0</v>
      </c>
      <c r="O60" s="342">
        <f t="shared" si="26"/>
        <v>0</v>
      </c>
      <c r="P60" s="342">
        <f t="shared" si="26"/>
        <v>0</v>
      </c>
      <c r="Q60" s="342">
        <f t="shared" si="26"/>
        <v>0</v>
      </c>
      <c r="R60" s="342">
        <f t="shared" si="26"/>
        <v>0</v>
      </c>
      <c r="S60" s="342">
        <f>SUBTOTAL(9,S61:S70)</f>
        <v>343200</v>
      </c>
      <c r="T60" s="342">
        <f t="shared" ref="T60:V60" si="27">SUBTOTAL(9,T61:T70)</f>
        <v>0</v>
      </c>
      <c r="U60" s="342">
        <f t="shared" si="27"/>
        <v>0</v>
      </c>
      <c r="V60" s="342">
        <f t="shared" si="27"/>
        <v>343200</v>
      </c>
    </row>
    <row r="61" spans="1:22" s="888" customFormat="1" ht="17.100000000000001" customHeight="1">
      <c r="A61" s="847">
        <v>1</v>
      </c>
      <c r="B61" s="848" t="s">
        <v>894</v>
      </c>
      <c r="C61" s="849"/>
      <c r="D61" s="850"/>
      <c r="E61" s="850"/>
      <c r="F61" s="851"/>
      <c r="G61" s="852">
        <f t="shared" ref="G61:G89" si="28">SUM(H61:J61)</f>
        <v>0</v>
      </c>
      <c r="H61" s="852"/>
      <c r="I61" s="852"/>
      <c r="J61" s="852"/>
      <c r="K61" s="852">
        <f t="shared" ref="K61:K89" si="29">SUM(L61:N61)</f>
        <v>0</v>
      </c>
      <c r="L61" s="852"/>
      <c r="M61" s="852"/>
      <c r="N61" s="852"/>
      <c r="O61" s="852">
        <f t="shared" ref="O61:O89" si="30">SUM(P61:R61)</f>
        <v>0</v>
      </c>
      <c r="P61" s="852"/>
      <c r="Q61" s="852"/>
      <c r="R61" s="852"/>
      <c r="S61" s="852">
        <f t="shared" ref="S61:S90" si="31">SUM(T61:V61)</f>
        <v>176000</v>
      </c>
      <c r="T61" s="853" t="s">
        <v>848</v>
      </c>
      <c r="U61" s="853" t="s">
        <v>848</v>
      </c>
      <c r="V61" s="859">
        <v>176000</v>
      </c>
    </row>
    <row r="62" spans="1:22" s="888" customFormat="1" ht="17.100000000000001" customHeight="1">
      <c r="A62" s="847">
        <v>2</v>
      </c>
      <c r="B62" s="854" t="s">
        <v>895</v>
      </c>
      <c r="C62" s="849"/>
      <c r="D62" s="850"/>
      <c r="E62" s="850"/>
      <c r="F62" s="851"/>
      <c r="G62" s="852">
        <f t="shared" si="28"/>
        <v>0</v>
      </c>
      <c r="H62" s="852"/>
      <c r="I62" s="852"/>
      <c r="J62" s="852"/>
      <c r="K62" s="852">
        <f t="shared" si="29"/>
        <v>0</v>
      </c>
      <c r="L62" s="852"/>
      <c r="M62" s="852"/>
      <c r="N62" s="852"/>
      <c r="O62" s="852">
        <f t="shared" si="30"/>
        <v>0</v>
      </c>
      <c r="P62" s="852"/>
      <c r="Q62" s="852"/>
      <c r="R62" s="852"/>
      <c r="S62" s="852">
        <f t="shared" si="31"/>
        <v>8360</v>
      </c>
      <c r="T62" s="853" t="s">
        <v>848</v>
      </c>
      <c r="U62" s="853" t="s">
        <v>848</v>
      </c>
      <c r="V62" s="859">
        <v>8360</v>
      </c>
    </row>
    <row r="63" spans="1:22" s="888" customFormat="1" ht="17.100000000000001" customHeight="1">
      <c r="A63" s="847">
        <v>3</v>
      </c>
      <c r="B63" s="854" t="s">
        <v>859</v>
      </c>
      <c r="C63" s="849"/>
      <c r="D63" s="850"/>
      <c r="E63" s="850"/>
      <c r="F63" s="851"/>
      <c r="G63" s="852">
        <f t="shared" si="28"/>
        <v>0</v>
      </c>
      <c r="H63" s="852"/>
      <c r="I63" s="852"/>
      <c r="J63" s="852"/>
      <c r="K63" s="852">
        <f t="shared" si="29"/>
        <v>0</v>
      </c>
      <c r="L63" s="852"/>
      <c r="M63" s="852"/>
      <c r="N63" s="852"/>
      <c r="O63" s="852">
        <f t="shared" si="30"/>
        <v>0</v>
      </c>
      <c r="P63" s="852"/>
      <c r="Q63" s="852"/>
      <c r="R63" s="852"/>
      <c r="S63" s="852">
        <f t="shared" si="31"/>
        <v>13200</v>
      </c>
      <c r="T63" s="853" t="s">
        <v>848</v>
      </c>
      <c r="U63" s="853" t="s">
        <v>848</v>
      </c>
      <c r="V63" s="859">
        <v>13200</v>
      </c>
    </row>
    <row r="64" spans="1:22" s="888" customFormat="1" ht="17.100000000000001" customHeight="1">
      <c r="A64" s="847">
        <v>4</v>
      </c>
      <c r="B64" s="854" t="s">
        <v>192</v>
      </c>
      <c r="C64" s="849"/>
      <c r="D64" s="850"/>
      <c r="E64" s="850"/>
      <c r="F64" s="851"/>
      <c r="G64" s="852">
        <f t="shared" si="28"/>
        <v>0</v>
      </c>
      <c r="H64" s="852"/>
      <c r="I64" s="852"/>
      <c r="J64" s="852"/>
      <c r="K64" s="852">
        <f t="shared" si="29"/>
        <v>0</v>
      </c>
      <c r="L64" s="852"/>
      <c r="M64" s="852"/>
      <c r="N64" s="852"/>
      <c r="O64" s="852">
        <f t="shared" si="30"/>
        <v>0</v>
      </c>
      <c r="P64" s="852"/>
      <c r="Q64" s="852"/>
      <c r="R64" s="852"/>
      <c r="S64" s="852">
        <f t="shared" si="31"/>
        <v>88</v>
      </c>
      <c r="T64" s="853" t="s">
        <v>848</v>
      </c>
      <c r="U64" s="853" t="s">
        <v>848</v>
      </c>
      <c r="V64" s="859">
        <v>88</v>
      </c>
    </row>
    <row r="65" spans="1:22" s="888" customFormat="1" ht="17.100000000000001" customHeight="1">
      <c r="A65" s="847">
        <v>5</v>
      </c>
      <c r="B65" s="854" t="s">
        <v>857</v>
      </c>
      <c r="C65" s="849"/>
      <c r="D65" s="850"/>
      <c r="E65" s="850"/>
      <c r="F65" s="851"/>
      <c r="G65" s="852">
        <f t="shared" si="28"/>
        <v>0</v>
      </c>
      <c r="H65" s="852"/>
      <c r="I65" s="852"/>
      <c r="J65" s="852"/>
      <c r="K65" s="852">
        <f t="shared" si="29"/>
        <v>0</v>
      </c>
      <c r="L65" s="852"/>
      <c r="M65" s="852"/>
      <c r="N65" s="852"/>
      <c r="O65" s="852">
        <f t="shared" si="30"/>
        <v>0</v>
      </c>
      <c r="P65" s="852"/>
      <c r="Q65" s="852"/>
      <c r="R65" s="852"/>
      <c r="S65" s="852">
        <f t="shared" si="31"/>
        <v>22000</v>
      </c>
      <c r="T65" s="853" t="s">
        <v>848</v>
      </c>
      <c r="U65" s="853" t="s">
        <v>848</v>
      </c>
      <c r="V65" s="859">
        <v>22000</v>
      </c>
    </row>
    <row r="66" spans="1:22" s="888" customFormat="1" ht="17.100000000000001" customHeight="1">
      <c r="A66" s="847">
        <v>6</v>
      </c>
      <c r="B66" s="856" t="s">
        <v>855</v>
      </c>
      <c r="C66" s="849"/>
      <c r="D66" s="850"/>
      <c r="E66" s="850"/>
      <c r="F66" s="851"/>
      <c r="G66" s="852">
        <f t="shared" si="28"/>
        <v>0</v>
      </c>
      <c r="H66" s="852"/>
      <c r="I66" s="852"/>
      <c r="J66" s="852"/>
      <c r="K66" s="852">
        <f t="shared" si="29"/>
        <v>0</v>
      </c>
      <c r="L66" s="852"/>
      <c r="M66" s="852"/>
      <c r="N66" s="852"/>
      <c r="O66" s="852">
        <f t="shared" si="30"/>
        <v>0</v>
      </c>
      <c r="P66" s="852"/>
      <c r="Q66" s="852"/>
      <c r="R66" s="852"/>
      <c r="S66" s="852">
        <f t="shared" si="31"/>
        <v>880</v>
      </c>
      <c r="T66" s="853" t="s">
        <v>848</v>
      </c>
      <c r="U66" s="853" t="s">
        <v>848</v>
      </c>
      <c r="V66" s="859">
        <v>880</v>
      </c>
    </row>
    <row r="67" spans="1:22" s="888" customFormat="1" ht="17.100000000000001" customHeight="1">
      <c r="A67" s="847">
        <v>7</v>
      </c>
      <c r="B67" s="854" t="s">
        <v>856</v>
      </c>
      <c r="C67" s="849"/>
      <c r="D67" s="850"/>
      <c r="E67" s="850"/>
      <c r="F67" s="851"/>
      <c r="G67" s="852">
        <f t="shared" si="28"/>
        <v>0</v>
      </c>
      <c r="H67" s="852"/>
      <c r="I67" s="852"/>
      <c r="J67" s="852"/>
      <c r="K67" s="852">
        <f t="shared" si="29"/>
        <v>0</v>
      </c>
      <c r="L67" s="852"/>
      <c r="M67" s="852"/>
      <c r="N67" s="852"/>
      <c r="O67" s="852">
        <f t="shared" si="30"/>
        <v>0</v>
      </c>
      <c r="P67" s="852"/>
      <c r="Q67" s="852"/>
      <c r="R67" s="852"/>
      <c r="S67" s="852">
        <f t="shared" si="31"/>
        <v>12320</v>
      </c>
      <c r="T67" s="853" t="s">
        <v>848</v>
      </c>
      <c r="U67" s="853" t="s">
        <v>848</v>
      </c>
      <c r="V67" s="859">
        <v>12320</v>
      </c>
    </row>
    <row r="68" spans="1:22" s="888" customFormat="1" ht="17.100000000000001" customHeight="1">
      <c r="A68" s="847">
        <v>8</v>
      </c>
      <c r="B68" s="848" t="s">
        <v>279</v>
      </c>
      <c r="C68" s="849"/>
      <c r="D68" s="850"/>
      <c r="E68" s="850"/>
      <c r="F68" s="851"/>
      <c r="G68" s="852">
        <f t="shared" si="28"/>
        <v>0</v>
      </c>
      <c r="H68" s="852"/>
      <c r="I68" s="852"/>
      <c r="J68" s="852"/>
      <c r="K68" s="852">
        <f t="shared" si="29"/>
        <v>0</v>
      </c>
      <c r="L68" s="852"/>
      <c r="M68" s="852"/>
      <c r="N68" s="852"/>
      <c r="O68" s="852">
        <f t="shared" si="30"/>
        <v>0</v>
      </c>
      <c r="P68" s="852"/>
      <c r="Q68" s="852"/>
      <c r="R68" s="852"/>
      <c r="S68" s="852">
        <f t="shared" si="31"/>
        <v>4400</v>
      </c>
      <c r="T68" s="853" t="s">
        <v>848</v>
      </c>
      <c r="U68" s="853" t="s">
        <v>848</v>
      </c>
      <c r="V68" s="859">
        <v>4400</v>
      </c>
    </row>
    <row r="69" spans="1:22" s="888" customFormat="1" ht="17.100000000000001" customHeight="1">
      <c r="A69" s="847">
        <v>9</v>
      </c>
      <c r="B69" s="854" t="s">
        <v>190</v>
      </c>
      <c r="C69" s="849"/>
      <c r="D69" s="850"/>
      <c r="E69" s="850"/>
      <c r="F69" s="851"/>
      <c r="G69" s="852">
        <f t="shared" si="28"/>
        <v>0</v>
      </c>
      <c r="H69" s="852"/>
      <c r="I69" s="852"/>
      <c r="J69" s="852"/>
      <c r="K69" s="852">
        <f t="shared" si="29"/>
        <v>0</v>
      </c>
      <c r="L69" s="852"/>
      <c r="M69" s="852"/>
      <c r="N69" s="852"/>
      <c r="O69" s="852">
        <f t="shared" si="30"/>
        <v>0</v>
      </c>
      <c r="P69" s="852"/>
      <c r="Q69" s="852"/>
      <c r="R69" s="852"/>
      <c r="S69" s="852">
        <f t="shared" si="31"/>
        <v>352</v>
      </c>
      <c r="T69" s="853" t="s">
        <v>848</v>
      </c>
      <c r="U69" s="853" t="s">
        <v>848</v>
      </c>
      <c r="V69" s="859">
        <v>352</v>
      </c>
    </row>
    <row r="70" spans="1:22" s="888" customFormat="1">
      <c r="A70" s="847">
        <v>10</v>
      </c>
      <c r="B70" s="848" t="s">
        <v>712</v>
      </c>
      <c r="C70" s="849"/>
      <c r="D70" s="850"/>
      <c r="E70" s="850"/>
      <c r="F70" s="851"/>
      <c r="G70" s="852">
        <f t="shared" si="28"/>
        <v>0</v>
      </c>
      <c r="H70" s="852"/>
      <c r="I70" s="852"/>
      <c r="J70" s="852"/>
      <c r="K70" s="852">
        <f t="shared" si="29"/>
        <v>0</v>
      </c>
      <c r="L70" s="852"/>
      <c r="M70" s="852"/>
      <c r="N70" s="852"/>
      <c r="O70" s="852">
        <f t="shared" si="30"/>
        <v>0</v>
      </c>
      <c r="P70" s="852"/>
      <c r="Q70" s="852"/>
      <c r="R70" s="852"/>
      <c r="S70" s="852">
        <f t="shared" si="31"/>
        <v>105600</v>
      </c>
      <c r="T70" s="853" t="s">
        <v>848</v>
      </c>
      <c r="U70" s="853" t="s">
        <v>848</v>
      </c>
      <c r="V70" s="859">
        <v>105600</v>
      </c>
    </row>
    <row r="71" spans="1:22" s="830" customFormat="1">
      <c r="A71" s="843" t="s">
        <v>385</v>
      </c>
      <c r="B71" s="903" t="s">
        <v>1161</v>
      </c>
      <c r="C71" s="904"/>
      <c r="D71" s="905"/>
      <c r="E71" s="905"/>
      <c r="F71" s="844"/>
      <c r="G71" s="906"/>
      <c r="H71" s="906"/>
      <c r="I71" s="906"/>
      <c r="J71" s="906"/>
      <c r="K71" s="906"/>
      <c r="L71" s="906"/>
      <c r="M71" s="906"/>
      <c r="N71" s="906"/>
      <c r="O71" s="906"/>
      <c r="P71" s="906"/>
      <c r="Q71" s="906"/>
      <c r="R71" s="906"/>
      <c r="S71" s="342">
        <f>SUBTOTAL(9,S72:S73)</f>
        <v>39000</v>
      </c>
      <c r="T71" s="342">
        <f t="shared" ref="T71:V71" si="32">SUBTOTAL(9,T72:T73)</f>
        <v>0</v>
      </c>
      <c r="U71" s="342">
        <f t="shared" si="32"/>
        <v>0</v>
      </c>
      <c r="V71" s="342">
        <f t="shared" si="32"/>
        <v>39000</v>
      </c>
    </row>
    <row r="72" spans="1:22" s="888" customFormat="1" ht="25.5">
      <c r="A72" s="847">
        <v>1</v>
      </c>
      <c r="B72" s="860" t="s">
        <v>1162</v>
      </c>
      <c r="C72" s="849"/>
      <c r="D72" s="850"/>
      <c r="E72" s="850"/>
      <c r="F72" s="851"/>
      <c r="G72" s="852"/>
      <c r="H72" s="852"/>
      <c r="I72" s="852"/>
      <c r="J72" s="852"/>
      <c r="K72" s="852"/>
      <c r="L72" s="852"/>
      <c r="M72" s="852"/>
      <c r="N72" s="852"/>
      <c r="O72" s="852"/>
      <c r="P72" s="852"/>
      <c r="Q72" s="852"/>
      <c r="R72" s="852"/>
      <c r="S72" s="852">
        <f>SUM(T72:V72)</f>
        <v>20000</v>
      </c>
      <c r="T72" s="853"/>
      <c r="U72" s="853"/>
      <c r="V72" s="859">
        <v>20000</v>
      </c>
    </row>
    <row r="73" spans="1:22" s="888" customFormat="1">
      <c r="A73" s="847">
        <v>2</v>
      </c>
      <c r="B73" s="860" t="s">
        <v>1163</v>
      </c>
      <c r="C73" s="849"/>
      <c r="D73" s="850"/>
      <c r="E73" s="850"/>
      <c r="F73" s="851"/>
      <c r="G73" s="852"/>
      <c r="H73" s="852"/>
      <c r="I73" s="852"/>
      <c r="J73" s="852"/>
      <c r="K73" s="852"/>
      <c r="L73" s="852"/>
      <c r="M73" s="852"/>
      <c r="N73" s="852"/>
      <c r="O73" s="852"/>
      <c r="P73" s="852"/>
      <c r="Q73" s="852"/>
      <c r="R73" s="852"/>
      <c r="S73" s="852">
        <f t="shared" ref="S73:S76" si="33">SUM(T73:V73)</f>
        <v>19000</v>
      </c>
      <c r="T73" s="853"/>
      <c r="U73" s="853"/>
      <c r="V73" s="859">
        <v>19000</v>
      </c>
    </row>
    <row r="74" spans="1:22" s="893" customFormat="1">
      <c r="A74" s="907" t="s">
        <v>952</v>
      </c>
      <c r="B74" s="908" t="s">
        <v>954</v>
      </c>
      <c r="C74" s="909"/>
      <c r="D74" s="910"/>
      <c r="E74" s="910"/>
      <c r="F74" s="911"/>
      <c r="G74" s="912"/>
      <c r="H74" s="912"/>
      <c r="I74" s="912"/>
      <c r="J74" s="912"/>
      <c r="K74" s="912"/>
      <c r="L74" s="912"/>
      <c r="M74" s="912"/>
      <c r="N74" s="912"/>
      <c r="O74" s="912"/>
      <c r="P74" s="912"/>
      <c r="Q74" s="912"/>
      <c r="R74" s="912"/>
      <c r="S74" s="912">
        <f t="shared" si="33"/>
        <v>7800</v>
      </c>
      <c r="T74" s="913"/>
      <c r="U74" s="913"/>
      <c r="V74" s="861">
        <v>7800</v>
      </c>
    </row>
    <row r="75" spans="1:22" s="893" customFormat="1" ht="63.75">
      <c r="A75" s="907" t="s">
        <v>32</v>
      </c>
      <c r="B75" s="914" t="s">
        <v>1164</v>
      </c>
      <c r="C75" s="909"/>
      <c r="D75" s="910"/>
      <c r="E75" s="910"/>
      <c r="F75" s="911"/>
      <c r="G75" s="912"/>
      <c r="H75" s="912"/>
      <c r="I75" s="912"/>
      <c r="J75" s="912"/>
      <c r="K75" s="912"/>
      <c r="L75" s="912"/>
      <c r="M75" s="912"/>
      <c r="N75" s="912"/>
      <c r="O75" s="912"/>
      <c r="P75" s="912"/>
      <c r="Q75" s="912"/>
      <c r="R75" s="912"/>
      <c r="S75" s="342">
        <f>SUBTOTAL(9,S76:S124)</f>
        <v>1471977</v>
      </c>
      <c r="T75" s="342">
        <f t="shared" ref="T75:V75" si="34">SUBTOTAL(9,T76:T124)</f>
        <v>0</v>
      </c>
      <c r="U75" s="342">
        <f t="shared" si="34"/>
        <v>0</v>
      </c>
      <c r="V75" s="342">
        <f t="shared" si="34"/>
        <v>1471977</v>
      </c>
    </row>
    <row r="76" spans="1:22" s="893" customFormat="1" ht="38.25">
      <c r="A76" s="907" t="s">
        <v>966</v>
      </c>
      <c r="B76" s="908" t="s">
        <v>1165</v>
      </c>
      <c r="C76" s="909"/>
      <c r="D76" s="910"/>
      <c r="E76" s="910"/>
      <c r="F76" s="911"/>
      <c r="G76" s="912"/>
      <c r="H76" s="912"/>
      <c r="I76" s="912"/>
      <c r="J76" s="912"/>
      <c r="K76" s="912"/>
      <c r="L76" s="912"/>
      <c r="M76" s="912"/>
      <c r="N76" s="912"/>
      <c r="O76" s="912"/>
      <c r="P76" s="912"/>
      <c r="Q76" s="912"/>
      <c r="R76" s="912"/>
      <c r="S76" s="912">
        <f t="shared" si="33"/>
        <v>88000</v>
      </c>
      <c r="T76" s="913"/>
      <c r="U76" s="913"/>
      <c r="V76" s="861">
        <v>88000</v>
      </c>
    </row>
    <row r="77" spans="1:22" s="830" customFormat="1">
      <c r="A77" s="843" t="s">
        <v>1166</v>
      </c>
      <c r="B77" s="915" t="s">
        <v>951</v>
      </c>
      <c r="C77" s="901"/>
      <c r="D77" s="905"/>
      <c r="E77" s="905"/>
      <c r="F77" s="844"/>
      <c r="G77" s="906">
        <f t="shared" si="28"/>
        <v>0</v>
      </c>
      <c r="H77" s="906"/>
      <c r="I77" s="906"/>
      <c r="J77" s="906"/>
      <c r="K77" s="906">
        <f t="shared" si="29"/>
        <v>0</v>
      </c>
      <c r="L77" s="906"/>
      <c r="M77" s="906"/>
      <c r="N77" s="906"/>
      <c r="O77" s="906">
        <f t="shared" si="30"/>
        <v>0</v>
      </c>
      <c r="P77" s="906"/>
      <c r="Q77" s="906"/>
      <c r="R77" s="906"/>
      <c r="S77" s="342">
        <f>SUBTOTAL(9,S78:S87)</f>
        <v>58000</v>
      </c>
      <c r="T77" s="342">
        <f t="shared" ref="T77:V77" si="35">SUBTOTAL(9,T78:T87)</f>
        <v>0</v>
      </c>
      <c r="U77" s="342">
        <f t="shared" si="35"/>
        <v>0</v>
      </c>
      <c r="V77" s="342">
        <f t="shared" si="35"/>
        <v>58000</v>
      </c>
    </row>
    <row r="78" spans="1:22" s="893" customFormat="1">
      <c r="A78" s="862">
        <v>1</v>
      </c>
      <c r="B78" s="863" t="s">
        <v>613</v>
      </c>
      <c r="C78" s="901"/>
      <c r="D78" s="905"/>
      <c r="E78" s="905"/>
      <c r="F78" s="844"/>
      <c r="G78" s="906"/>
      <c r="H78" s="906"/>
      <c r="I78" s="906"/>
      <c r="J78" s="906"/>
      <c r="K78" s="906"/>
      <c r="L78" s="906"/>
      <c r="M78" s="906"/>
      <c r="N78" s="906"/>
      <c r="O78" s="906"/>
      <c r="P78" s="906"/>
      <c r="Q78" s="906"/>
      <c r="R78" s="906"/>
      <c r="S78" s="852">
        <f>T78+U78+V78</f>
        <v>8600</v>
      </c>
      <c r="T78" s="342"/>
      <c r="U78" s="342"/>
      <c r="V78" s="853">
        <v>8600</v>
      </c>
    </row>
    <row r="79" spans="1:22" s="893" customFormat="1">
      <c r="A79" s="862">
        <v>2</v>
      </c>
      <c r="B79" s="863" t="s">
        <v>612</v>
      </c>
      <c r="C79" s="901"/>
      <c r="D79" s="905"/>
      <c r="E79" s="905"/>
      <c r="F79" s="844"/>
      <c r="G79" s="906"/>
      <c r="H79" s="906"/>
      <c r="I79" s="906"/>
      <c r="J79" s="906"/>
      <c r="K79" s="906"/>
      <c r="L79" s="906"/>
      <c r="M79" s="906"/>
      <c r="N79" s="906"/>
      <c r="O79" s="906"/>
      <c r="P79" s="906"/>
      <c r="Q79" s="906"/>
      <c r="R79" s="906"/>
      <c r="S79" s="852">
        <f t="shared" ref="S79:S87" si="36">T79+U79+V79</f>
        <v>5100</v>
      </c>
      <c r="T79" s="342"/>
      <c r="U79" s="342"/>
      <c r="V79" s="864">
        <v>5100</v>
      </c>
    </row>
    <row r="80" spans="1:22" s="893" customFormat="1">
      <c r="A80" s="862">
        <v>3</v>
      </c>
      <c r="B80" s="863" t="s">
        <v>611</v>
      </c>
      <c r="C80" s="901"/>
      <c r="D80" s="905"/>
      <c r="E80" s="905"/>
      <c r="F80" s="844"/>
      <c r="G80" s="906"/>
      <c r="H80" s="906"/>
      <c r="I80" s="906"/>
      <c r="J80" s="906"/>
      <c r="K80" s="906"/>
      <c r="L80" s="906"/>
      <c r="M80" s="906"/>
      <c r="N80" s="906"/>
      <c r="O80" s="906"/>
      <c r="P80" s="906"/>
      <c r="Q80" s="906"/>
      <c r="R80" s="906"/>
      <c r="S80" s="852">
        <f t="shared" si="36"/>
        <v>5000</v>
      </c>
      <c r="T80" s="342"/>
      <c r="U80" s="342"/>
      <c r="V80" s="864">
        <v>5000</v>
      </c>
    </row>
    <row r="81" spans="1:22" s="893" customFormat="1">
      <c r="A81" s="862">
        <v>4</v>
      </c>
      <c r="B81" s="863" t="s">
        <v>604</v>
      </c>
      <c r="C81" s="901"/>
      <c r="D81" s="905"/>
      <c r="E81" s="905"/>
      <c r="F81" s="844"/>
      <c r="G81" s="906"/>
      <c r="H81" s="906"/>
      <c r="I81" s="906"/>
      <c r="J81" s="906"/>
      <c r="K81" s="906"/>
      <c r="L81" s="906"/>
      <c r="M81" s="906"/>
      <c r="N81" s="906"/>
      <c r="O81" s="906"/>
      <c r="P81" s="906"/>
      <c r="Q81" s="906"/>
      <c r="R81" s="906"/>
      <c r="S81" s="852">
        <f t="shared" si="36"/>
        <v>4800</v>
      </c>
      <c r="T81" s="342"/>
      <c r="U81" s="342"/>
      <c r="V81" s="864">
        <v>4800</v>
      </c>
    </row>
    <row r="82" spans="1:22" s="893" customFormat="1">
      <c r="A82" s="862">
        <v>5</v>
      </c>
      <c r="B82" s="863" t="s">
        <v>610</v>
      </c>
      <c r="C82" s="901"/>
      <c r="D82" s="905"/>
      <c r="E82" s="905"/>
      <c r="F82" s="844"/>
      <c r="G82" s="906"/>
      <c r="H82" s="906"/>
      <c r="I82" s="906"/>
      <c r="J82" s="906"/>
      <c r="K82" s="906"/>
      <c r="L82" s="906"/>
      <c r="M82" s="906"/>
      <c r="N82" s="906"/>
      <c r="O82" s="906"/>
      <c r="P82" s="906"/>
      <c r="Q82" s="906"/>
      <c r="R82" s="906"/>
      <c r="S82" s="852">
        <f t="shared" si="36"/>
        <v>7300</v>
      </c>
      <c r="T82" s="342"/>
      <c r="U82" s="342"/>
      <c r="V82" s="864">
        <v>7300</v>
      </c>
    </row>
    <row r="83" spans="1:22" s="893" customFormat="1">
      <c r="A83" s="862">
        <v>6</v>
      </c>
      <c r="B83" s="863" t="s">
        <v>609</v>
      </c>
      <c r="C83" s="901"/>
      <c r="D83" s="905"/>
      <c r="E83" s="905"/>
      <c r="F83" s="844"/>
      <c r="G83" s="906"/>
      <c r="H83" s="906"/>
      <c r="I83" s="906"/>
      <c r="J83" s="906"/>
      <c r="K83" s="906"/>
      <c r="L83" s="906"/>
      <c r="M83" s="906"/>
      <c r="N83" s="906"/>
      <c r="O83" s="906"/>
      <c r="P83" s="906"/>
      <c r="Q83" s="906"/>
      <c r="R83" s="906"/>
      <c r="S83" s="852">
        <f t="shared" si="36"/>
        <v>5100</v>
      </c>
      <c r="T83" s="342"/>
      <c r="U83" s="342"/>
      <c r="V83" s="864">
        <v>5100</v>
      </c>
    </row>
    <row r="84" spans="1:22" s="893" customFormat="1">
      <c r="A84" s="862">
        <v>7</v>
      </c>
      <c r="B84" s="863" t="s">
        <v>608</v>
      </c>
      <c r="C84" s="901"/>
      <c r="D84" s="905"/>
      <c r="E84" s="905"/>
      <c r="F84" s="844"/>
      <c r="G84" s="906"/>
      <c r="H84" s="906"/>
      <c r="I84" s="906"/>
      <c r="J84" s="906"/>
      <c r="K84" s="906"/>
      <c r="L84" s="906"/>
      <c r="M84" s="906"/>
      <c r="N84" s="906"/>
      <c r="O84" s="906"/>
      <c r="P84" s="906"/>
      <c r="Q84" s="906"/>
      <c r="R84" s="906"/>
      <c r="S84" s="852">
        <f t="shared" si="36"/>
        <v>4900</v>
      </c>
      <c r="T84" s="342"/>
      <c r="U84" s="342"/>
      <c r="V84" s="864">
        <v>4900</v>
      </c>
    </row>
    <row r="85" spans="1:22" s="893" customFormat="1">
      <c r="A85" s="862">
        <v>8</v>
      </c>
      <c r="B85" s="863" t="s">
        <v>607</v>
      </c>
      <c r="C85" s="901"/>
      <c r="D85" s="905"/>
      <c r="E85" s="905"/>
      <c r="F85" s="844"/>
      <c r="G85" s="906"/>
      <c r="H85" s="906"/>
      <c r="I85" s="906"/>
      <c r="J85" s="906"/>
      <c r="K85" s="906"/>
      <c r="L85" s="906"/>
      <c r="M85" s="906"/>
      <c r="N85" s="906"/>
      <c r="O85" s="906"/>
      <c r="P85" s="906"/>
      <c r="Q85" s="906"/>
      <c r="R85" s="906"/>
      <c r="S85" s="852">
        <f t="shared" si="36"/>
        <v>5100</v>
      </c>
      <c r="T85" s="342"/>
      <c r="U85" s="342"/>
      <c r="V85" s="864">
        <v>5100</v>
      </c>
    </row>
    <row r="86" spans="1:22" s="893" customFormat="1">
      <c r="A86" s="862">
        <v>9</v>
      </c>
      <c r="B86" s="863" t="s">
        <v>606</v>
      </c>
      <c r="C86" s="901"/>
      <c r="D86" s="905"/>
      <c r="E86" s="905"/>
      <c r="F86" s="844"/>
      <c r="G86" s="906"/>
      <c r="H86" s="906"/>
      <c r="I86" s="906"/>
      <c r="J86" s="906"/>
      <c r="K86" s="906"/>
      <c r="L86" s="906"/>
      <c r="M86" s="906"/>
      <c r="N86" s="906"/>
      <c r="O86" s="906"/>
      <c r="P86" s="906"/>
      <c r="Q86" s="906"/>
      <c r="R86" s="906"/>
      <c r="S86" s="852">
        <f t="shared" si="36"/>
        <v>4800</v>
      </c>
      <c r="T86" s="342"/>
      <c r="U86" s="342"/>
      <c r="V86" s="864">
        <v>4800</v>
      </c>
    </row>
    <row r="87" spans="1:22" s="893" customFormat="1">
      <c r="A87" s="862">
        <v>10</v>
      </c>
      <c r="B87" s="863" t="s">
        <v>605</v>
      </c>
      <c r="C87" s="901"/>
      <c r="D87" s="905"/>
      <c r="E87" s="905"/>
      <c r="F87" s="844"/>
      <c r="G87" s="906"/>
      <c r="H87" s="906"/>
      <c r="I87" s="906"/>
      <c r="J87" s="906"/>
      <c r="K87" s="906"/>
      <c r="L87" s="906"/>
      <c r="M87" s="906"/>
      <c r="N87" s="906"/>
      <c r="O87" s="906"/>
      <c r="P87" s="906"/>
      <c r="Q87" s="906"/>
      <c r="R87" s="906"/>
      <c r="S87" s="852">
        <f t="shared" si="36"/>
        <v>7300</v>
      </c>
      <c r="T87" s="342"/>
      <c r="U87" s="342"/>
      <c r="V87" s="864">
        <v>7300</v>
      </c>
    </row>
    <row r="88" spans="1:22" s="830" customFormat="1" ht="15" customHeight="1">
      <c r="A88" s="843" t="s">
        <v>1167</v>
      </c>
      <c r="B88" s="915" t="s">
        <v>953</v>
      </c>
      <c r="C88" s="901"/>
      <c r="D88" s="905"/>
      <c r="E88" s="905"/>
      <c r="F88" s="844"/>
      <c r="G88" s="906">
        <f t="shared" si="28"/>
        <v>0</v>
      </c>
      <c r="H88" s="906"/>
      <c r="I88" s="906"/>
      <c r="J88" s="906"/>
      <c r="K88" s="906">
        <f t="shared" si="29"/>
        <v>0</v>
      </c>
      <c r="L88" s="906"/>
      <c r="M88" s="906"/>
      <c r="N88" s="906"/>
      <c r="O88" s="906">
        <f t="shared" si="30"/>
        <v>0</v>
      </c>
      <c r="P88" s="906"/>
      <c r="Q88" s="906"/>
      <c r="R88" s="906"/>
      <c r="S88" s="906">
        <f t="shared" si="31"/>
        <v>97213</v>
      </c>
      <c r="T88" s="342" t="s">
        <v>848</v>
      </c>
      <c r="U88" s="342" t="s">
        <v>848</v>
      </c>
      <c r="V88" s="342">
        <v>97213</v>
      </c>
    </row>
    <row r="89" spans="1:22" s="830" customFormat="1" ht="18" customHeight="1">
      <c r="A89" s="843" t="s">
        <v>1168</v>
      </c>
      <c r="B89" s="915" t="s">
        <v>1169</v>
      </c>
      <c r="C89" s="901"/>
      <c r="D89" s="905" t="s">
        <v>915</v>
      </c>
      <c r="E89" s="905"/>
      <c r="F89" s="844"/>
      <c r="G89" s="906">
        <f t="shared" si="28"/>
        <v>0</v>
      </c>
      <c r="H89" s="906"/>
      <c r="I89" s="906"/>
      <c r="J89" s="906"/>
      <c r="K89" s="906">
        <f t="shared" si="29"/>
        <v>0</v>
      </c>
      <c r="L89" s="906"/>
      <c r="M89" s="906"/>
      <c r="N89" s="906"/>
      <c r="O89" s="906">
        <f t="shared" si="30"/>
        <v>0</v>
      </c>
      <c r="P89" s="906"/>
      <c r="Q89" s="906"/>
      <c r="R89" s="906"/>
      <c r="S89" s="906">
        <f t="shared" si="31"/>
        <v>22122</v>
      </c>
      <c r="T89" s="342" t="s">
        <v>848</v>
      </c>
      <c r="U89" s="342" t="s">
        <v>848</v>
      </c>
      <c r="V89" s="342">
        <v>22122</v>
      </c>
    </row>
    <row r="90" spans="1:22" s="1004" customFormat="1" ht="28.9" customHeight="1">
      <c r="A90" s="1005" t="s">
        <v>1170</v>
      </c>
      <c r="B90" s="1006" t="s">
        <v>1217</v>
      </c>
      <c r="C90" s="1007"/>
      <c r="D90" s="1008"/>
      <c r="E90" s="1008"/>
      <c r="F90" s="1009"/>
      <c r="G90" s="1010"/>
      <c r="H90" s="1010"/>
      <c r="I90" s="1010"/>
      <c r="J90" s="1010"/>
      <c r="K90" s="1010"/>
      <c r="L90" s="1010"/>
      <c r="M90" s="1010"/>
      <c r="N90" s="1010"/>
      <c r="O90" s="1010"/>
      <c r="P90" s="1010"/>
      <c r="Q90" s="1010"/>
      <c r="R90" s="1010"/>
      <c r="S90" s="1010">
        <f t="shared" si="31"/>
        <v>55000</v>
      </c>
      <c r="T90" s="1011"/>
      <c r="U90" s="1011"/>
      <c r="V90" s="1011">
        <v>55000</v>
      </c>
    </row>
    <row r="91" spans="1:22" s="893" customFormat="1" ht="19.899999999999999" customHeight="1">
      <c r="A91" s="843" t="s">
        <v>1218</v>
      </c>
      <c r="B91" s="915" t="s">
        <v>955</v>
      </c>
      <c r="C91" s="901"/>
      <c r="D91" s="905"/>
      <c r="E91" s="905"/>
      <c r="F91" s="844"/>
      <c r="G91" s="342">
        <f>SUBTOTAL(9,G92:G124)</f>
        <v>7600967</v>
      </c>
      <c r="H91" s="342">
        <f t="shared" ref="H91:V91" si="37">SUBTOTAL(9,H92:H124)</f>
        <v>0</v>
      </c>
      <c r="I91" s="342">
        <f t="shared" si="37"/>
        <v>0</v>
      </c>
      <c r="J91" s="342">
        <f t="shared" si="37"/>
        <v>5266425</v>
      </c>
      <c r="K91" s="342">
        <f t="shared" si="37"/>
        <v>502596.28700000001</v>
      </c>
      <c r="L91" s="342">
        <f t="shared" si="37"/>
        <v>0</v>
      </c>
      <c r="M91" s="342">
        <f t="shared" si="37"/>
        <v>0</v>
      </c>
      <c r="N91" s="342">
        <f t="shared" si="37"/>
        <v>502596.28700000001</v>
      </c>
      <c r="O91" s="342">
        <f t="shared" si="37"/>
        <v>502595.88699999999</v>
      </c>
      <c r="P91" s="342">
        <f t="shared" si="37"/>
        <v>0</v>
      </c>
      <c r="Q91" s="342">
        <f t="shared" si="37"/>
        <v>0</v>
      </c>
      <c r="R91" s="342">
        <f t="shared" si="37"/>
        <v>502595.88699999999</v>
      </c>
      <c r="S91" s="342">
        <f t="shared" si="37"/>
        <v>1151642</v>
      </c>
      <c r="T91" s="342">
        <f t="shared" si="37"/>
        <v>0</v>
      </c>
      <c r="U91" s="342">
        <f t="shared" si="37"/>
        <v>0</v>
      </c>
      <c r="V91" s="342">
        <f t="shared" si="37"/>
        <v>1151642</v>
      </c>
    </row>
    <row r="92" spans="1:22" s="893" customFormat="1">
      <c r="A92" s="843">
        <v>1</v>
      </c>
      <c r="B92" s="845" t="s">
        <v>188</v>
      </c>
      <c r="C92" s="901"/>
      <c r="D92" s="905"/>
      <c r="E92" s="905"/>
      <c r="F92" s="844"/>
      <c r="G92" s="342">
        <f>SUBTOTAL(9,G93:G96)</f>
        <v>657526</v>
      </c>
      <c r="H92" s="342">
        <f t="shared" ref="H92:V92" si="38">SUBTOTAL(9,H93:H96)</f>
        <v>0</v>
      </c>
      <c r="I92" s="342">
        <f t="shared" si="38"/>
        <v>0</v>
      </c>
      <c r="J92" s="342">
        <f t="shared" si="38"/>
        <v>610526</v>
      </c>
      <c r="K92" s="342">
        <f t="shared" si="38"/>
        <v>63500</v>
      </c>
      <c r="L92" s="342">
        <f t="shared" si="38"/>
        <v>0</v>
      </c>
      <c r="M92" s="342">
        <f t="shared" si="38"/>
        <v>0</v>
      </c>
      <c r="N92" s="342">
        <f t="shared" si="38"/>
        <v>63500</v>
      </c>
      <c r="O92" s="342">
        <f t="shared" si="38"/>
        <v>63500</v>
      </c>
      <c r="P92" s="342">
        <f t="shared" si="38"/>
        <v>0</v>
      </c>
      <c r="Q92" s="342">
        <f t="shared" si="38"/>
        <v>0</v>
      </c>
      <c r="R92" s="342">
        <f t="shared" si="38"/>
        <v>63500</v>
      </c>
      <c r="S92" s="342">
        <f t="shared" si="38"/>
        <v>226780</v>
      </c>
      <c r="T92" s="342">
        <f t="shared" si="38"/>
        <v>0</v>
      </c>
      <c r="U92" s="342">
        <f t="shared" si="38"/>
        <v>0</v>
      </c>
      <c r="V92" s="342">
        <f t="shared" si="38"/>
        <v>226780</v>
      </c>
    </row>
    <row r="93" spans="1:22" ht="51">
      <c r="A93" s="847" t="s">
        <v>19</v>
      </c>
      <c r="B93" s="885" t="s">
        <v>1171</v>
      </c>
      <c r="C93" s="916"/>
      <c r="D93" s="850" t="s">
        <v>912</v>
      </c>
      <c r="E93" s="850"/>
      <c r="F93" s="865" t="s">
        <v>1172</v>
      </c>
      <c r="G93" s="866">
        <v>129513</v>
      </c>
      <c r="H93" s="853"/>
      <c r="I93" s="853"/>
      <c r="J93" s="786">
        <v>82513</v>
      </c>
      <c r="K93" s="852">
        <f>SUM(L93:N93)</f>
        <v>25000</v>
      </c>
      <c r="L93" s="853"/>
      <c r="M93" s="853"/>
      <c r="N93" s="853">
        <v>25000</v>
      </c>
      <c r="O93" s="852">
        <f>SUM(P93:R93)</f>
        <v>25000</v>
      </c>
      <c r="P93" s="853"/>
      <c r="Q93" s="853"/>
      <c r="R93" s="853">
        <v>25000</v>
      </c>
      <c r="S93" s="852">
        <f>SUM(T93:V93)</f>
        <v>57500</v>
      </c>
      <c r="T93" s="853"/>
      <c r="U93" s="853"/>
      <c r="V93" s="853">
        <v>57500</v>
      </c>
    </row>
    <row r="94" spans="1:22" ht="63.75">
      <c r="A94" s="847" t="s">
        <v>19</v>
      </c>
      <c r="B94" s="885" t="s">
        <v>1173</v>
      </c>
      <c r="C94" s="916"/>
      <c r="D94" s="850" t="s">
        <v>912</v>
      </c>
      <c r="E94" s="850"/>
      <c r="F94" s="867" t="s">
        <v>1174</v>
      </c>
      <c r="G94" s="786">
        <v>35083</v>
      </c>
      <c r="H94" s="853"/>
      <c r="I94" s="853"/>
      <c r="J94" s="999">
        <v>35083</v>
      </c>
      <c r="K94" s="852">
        <f>SUM(L94:N94)</f>
        <v>3000</v>
      </c>
      <c r="L94" s="853"/>
      <c r="M94" s="853"/>
      <c r="N94" s="853">
        <v>3000</v>
      </c>
      <c r="O94" s="852">
        <f>SUM(P94:R94)</f>
        <v>3000</v>
      </c>
      <c r="P94" s="853"/>
      <c r="Q94" s="853"/>
      <c r="R94" s="853">
        <v>3000</v>
      </c>
      <c r="S94" s="852">
        <f>SUM(T94:V94)</f>
        <v>3000</v>
      </c>
      <c r="T94" s="853"/>
      <c r="U94" s="853"/>
      <c r="V94" s="1003">
        <f>28000-25000</f>
        <v>3000</v>
      </c>
    </row>
    <row r="95" spans="1:22" s="888" customFormat="1" ht="53.45" customHeight="1">
      <c r="A95" s="884" t="s">
        <v>19</v>
      </c>
      <c r="B95" s="917" t="s">
        <v>956</v>
      </c>
      <c r="C95" s="849"/>
      <c r="D95" s="850" t="s">
        <v>912</v>
      </c>
      <c r="E95" s="850"/>
      <c r="F95" s="918" t="s">
        <v>957</v>
      </c>
      <c r="G95" s="896">
        <v>108937</v>
      </c>
      <c r="H95" s="896"/>
      <c r="I95" s="896"/>
      <c r="J95" s="896">
        <v>108937</v>
      </c>
      <c r="K95" s="852">
        <f>SUM(L95:N95)</f>
        <v>15000</v>
      </c>
      <c r="L95" s="852"/>
      <c r="M95" s="852"/>
      <c r="N95" s="852">
        <v>15000</v>
      </c>
      <c r="O95" s="852">
        <f>SUM(P95:R95)</f>
        <v>15000</v>
      </c>
      <c r="P95" s="852"/>
      <c r="Q95" s="852"/>
      <c r="R95" s="852">
        <v>15000</v>
      </c>
      <c r="S95" s="852">
        <f>SUM(T95:V95)</f>
        <v>15000</v>
      </c>
      <c r="T95" s="853" t="s">
        <v>848</v>
      </c>
      <c r="U95" s="853" t="s">
        <v>848</v>
      </c>
      <c r="V95" s="1003">
        <f>50000-35000</f>
        <v>15000</v>
      </c>
    </row>
    <row r="96" spans="1:22" s="888" customFormat="1" ht="53.45" customHeight="1">
      <c r="A96" s="884" t="s">
        <v>19</v>
      </c>
      <c r="B96" s="917" t="s">
        <v>1175</v>
      </c>
      <c r="C96" s="849"/>
      <c r="D96" s="850" t="s">
        <v>912</v>
      </c>
      <c r="E96" s="850"/>
      <c r="F96" s="867" t="s">
        <v>1176</v>
      </c>
      <c r="G96" s="786">
        <v>383993</v>
      </c>
      <c r="H96" s="896"/>
      <c r="I96" s="896"/>
      <c r="J96" s="786">
        <v>383993</v>
      </c>
      <c r="K96" s="852">
        <f>SUM(L96:N96)</f>
        <v>20500</v>
      </c>
      <c r="L96" s="852"/>
      <c r="M96" s="852"/>
      <c r="N96" s="852">
        <v>20500</v>
      </c>
      <c r="O96" s="852">
        <f>SUM(P96:R96)</f>
        <v>20500</v>
      </c>
      <c r="P96" s="852"/>
      <c r="Q96" s="852"/>
      <c r="R96" s="852">
        <v>20500</v>
      </c>
      <c r="S96" s="852">
        <f>SUM(T96:V96)</f>
        <v>151280</v>
      </c>
      <c r="T96" s="853"/>
      <c r="U96" s="853"/>
      <c r="V96" s="1003">
        <f>124516+26764</f>
        <v>151280</v>
      </c>
    </row>
    <row r="97" spans="1:22" s="893" customFormat="1">
      <c r="A97" s="843">
        <v>2</v>
      </c>
      <c r="B97" s="845" t="s">
        <v>916</v>
      </c>
      <c r="C97" s="901"/>
      <c r="D97" s="905"/>
      <c r="E97" s="905"/>
      <c r="F97" s="844"/>
      <c r="G97" s="342">
        <f t="shared" ref="G97:V97" si="39">SUBTOTAL(9,G98)</f>
        <v>155000</v>
      </c>
      <c r="H97" s="342">
        <f t="shared" si="39"/>
        <v>0</v>
      </c>
      <c r="I97" s="342">
        <f t="shared" si="39"/>
        <v>0</v>
      </c>
      <c r="J97" s="342">
        <f t="shared" si="39"/>
        <v>55000</v>
      </c>
      <c r="K97" s="342">
        <f t="shared" si="39"/>
        <v>0</v>
      </c>
      <c r="L97" s="342">
        <f t="shared" si="39"/>
        <v>0</v>
      </c>
      <c r="M97" s="342">
        <f t="shared" si="39"/>
        <v>0</v>
      </c>
      <c r="N97" s="342">
        <f t="shared" si="39"/>
        <v>0</v>
      </c>
      <c r="O97" s="342">
        <f t="shared" si="39"/>
        <v>0</v>
      </c>
      <c r="P97" s="342">
        <f t="shared" si="39"/>
        <v>0</v>
      </c>
      <c r="Q97" s="342">
        <f t="shared" si="39"/>
        <v>0</v>
      </c>
      <c r="R97" s="342">
        <f t="shared" si="39"/>
        <v>0</v>
      </c>
      <c r="S97" s="342">
        <f t="shared" si="39"/>
        <v>10000</v>
      </c>
      <c r="T97" s="342">
        <f t="shared" si="39"/>
        <v>0</v>
      </c>
      <c r="U97" s="342">
        <f t="shared" si="39"/>
        <v>0</v>
      </c>
      <c r="V97" s="342">
        <f t="shared" si="39"/>
        <v>10000</v>
      </c>
    </row>
    <row r="98" spans="1:22" s="888" customFormat="1" ht="41.45" customHeight="1">
      <c r="A98" s="884" t="s">
        <v>19</v>
      </c>
      <c r="B98" s="886" t="s">
        <v>958</v>
      </c>
      <c r="C98" s="849"/>
      <c r="D98" s="850" t="s">
        <v>912</v>
      </c>
      <c r="E98" s="850"/>
      <c r="F98" s="887" t="s">
        <v>959</v>
      </c>
      <c r="G98" s="896">
        <v>155000</v>
      </c>
      <c r="H98" s="896"/>
      <c r="I98" s="896"/>
      <c r="J98" s="896">
        <v>55000</v>
      </c>
      <c r="K98" s="852">
        <f>SUM(L98:N98)</f>
        <v>0</v>
      </c>
      <c r="L98" s="852"/>
      <c r="M98" s="852"/>
      <c r="N98" s="852">
        <v>0</v>
      </c>
      <c r="O98" s="852">
        <f>SUM(P98:R98)</f>
        <v>0</v>
      </c>
      <c r="P98" s="852"/>
      <c r="Q98" s="852"/>
      <c r="R98" s="852">
        <v>0</v>
      </c>
      <c r="S98" s="852">
        <f>SUM(T98:V98)</f>
        <v>10000</v>
      </c>
      <c r="T98" s="853" t="s">
        <v>848</v>
      </c>
      <c r="U98" s="853" t="s">
        <v>848</v>
      </c>
      <c r="V98" s="853">
        <v>10000</v>
      </c>
    </row>
    <row r="99" spans="1:22" s="893" customFormat="1" ht="38.25">
      <c r="A99" s="843">
        <v>3</v>
      </c>
      <c r="B99" s="892" t="s">
        <v>180</v>
      </c>
      <c r="C99" s="901"/>
      <c r="D99" s="905"/>
      <c r="E99" s="905"/>
      <c r="F99" s="844"/>
      <c r="G99" s="342">
        <f>SUBTOTAL(9,G100:G110)</f>
        <v>5288108</v>
      </c>
      <c r="H99" s="342">
        <f t="shared" ref="H99:V99" si="40">SUBTOTAL(9,H100:H110)</f>
        <v>0</v>
      </c>
      <c r="I99" s="342">
        <f t="shared" si="40"/>
        <v>0</v>
      </c>
      <c r="J99" s="342">
        <f t="shared" si="40"/>
        <v>3523725</v>
      </c>
      <c r="K99" s="342">
        <f t="shared" si="40"/>
        <v>281768.40000000002</v>
      </c>
      <c r="L99" s="342">
        <f t="shared" si="40"/>
        <v>0</v>
      </c>
      <c r="M99" s="342">
        <f t="shared" si="40"/>
        <v>0</v>
      </c>
      <c r="N99" s="342">
        <f t="shared" si="40"/>
        <v>281768.40000000002</v>
      </c>
      <c r="O99" s="342">
        <f t="shared" si="40"/>
        <v>281768</v>
      </c>
      <c r="P99" s="342">
        <f t="shared" si="40"/>
        <v>0</v>
      </c>
      <c r="Q99" s="342">
        <f t="shared" si="40"/>
        <v>0</v>
      </c>
      <c r="R99" s="342">
        <f t="shared" si="40"/>
        <v>281768</v>
      </c>
      <c r="S99" s="342">
        <f t="shared" si="40"/>
        <v>546834</v>
      </c>
      <c r="T99" s="342">
        <f t="shared" si="40"/>
        <v>0</v>
      </c>
      <c r="U99" s="342">
        <f t="shared" si="40"/>
        <v>0</v>
      </c>
      <c r="V99" s="342">
        <f t="shared" si="40"/>
        <v>546834</v>
      </c>
    </row>
    <row r="100" spans="1:22" s="893" customFormat="1" ht="38.25">
      <c r="A100" s="884" t="s">
        <v>19</v>
      </c>
      <c r="B100" s="919" t="s">
        <v>1177</v>
      </c>
      <c r="C100" s="901"/>
      <c r="D100" s="850" t="s">
        <v>912</v>
      </c>
      <c r="E100" s="905"/>
      <c r="F100" s="865" t="s">
        <v>1178</v>
      </c>
      <c r="G100" s="866">
        <v>236767</v>
      </c>
      <c r="H100" s="342"/>
      <c r="I100" s="342"/>
      <c r="J100" s="853">
        <v>118384</v>
      </c>
      <c r="K100" s="852">
        <f>SUM(L100:N100)</f>
        <v>53892</v>
      </c>
      <c r="L100" s="342"/>
      <c r="M100" s="342"/>
      <c r="N100" s="859">
        <v>53892</v>
      </c>
      <c r="O100" s="852">
        <f>SUM(P100:R100)</f>
        <v>53892</v>
      </c>
      <c r="P100" s="342"/>
      <c r="Q100" s="342"/>
      <c r="R100" s="859">
        <v>53892</v>
      </c>
      <c r="S100" s="852">
        <f t="shared" ref="S100:S124" si="41">SUM(T100:V100)</f>
        <v>24238</v>
      </c>
      <c r="T100" s="342"/>
      <c r="U100" s="342"/>
      <c r="V100" s="1003">
        <f>50000-25762</f>
        <v>24238</v>
      </c>
    </row>
    <row r="101" spans="1:22" s="888" customFormat="1" ht="38.25">
      <c r="A101" s="884" t="s">
        <v>19</v>
      </c>
      <c r="B101" s="917" t="s">
        <v>960</v>
      </c>
      <c r="C101" s="849"/>
      <c r="D101" s="850" t="s">
        <v>940</v>
      </c>
      <c r="E101" s="850"/>
      <c r="F101" s="894" t="s">
        <v>961</v>
      </c>
      <c r="G101" s="920">
        <v>1300000</v>
      </c>
      <c r="H101" s="920"/>
      <c r="I101" s="920"/>
      <c r="J101" s="896">
        <v>400000</v>
      </c>
      <c r="K101" s="852">
        <f>SUM(L101:N101)</f>
        <v>16130.4</v>
      </c>
      <c r="L101" s="852"/>
      <c r="M101" s="852"/>
      <c r="N101" s="852">
        <v>16130.4</v>
      </c>
      <c r="O101" s="852">
        <f>SUM(P101:R101)</f>
        <v>16130</v>
      </c>
      <c r="P101" s="852"/>
      <c r="Q101" s="852"/>
      <c r="R101" s="852">
        <v>16130</v>
      </c>
      <c r="S101" s="852">
        <f t="shared" si="41"/>
        <v>80000</v>
      </c>
      <c r="T101" s="853" t="s">
        <v>848</v>
      </c>
      <c r="U101" s="853" t="s">
        <v>848</v>
      </c>
      <c r="V101" s="853">
        <v>80000</v>
      </c>
    </row>
    <row r="102" spans="1:22" s="888" customFormat="1" ht="42" customHeight="1">
      <c r="A102" s="884" t="s">
        <v>19</v>
      </c>
      <c r="B102" s="917" t="s">
        <v>1179</v>
      </c>
      <c r="C102" s="849"/>
      <c r="D102" s="850" t="s">
        <v>912</v>
      </c>
      <c r="E102" s="850"/>
      <c r="F102" s="868" t="s">
        <v>1180</v>
      </c>
      <c r="G102" s="859">
        <v>1492600</v>
      </c>
      <c r="H102" s="920"/>
      <c r="I102" s="920"/>
      <c r="J102" s="859">
        <v>746600</v>
      </c>
      <c r="K102" s="852"/>
      <c r="L102" s="852"/>
      <c r="M102" s="852"/>
      <c r="N102" s="852"/>
      <c r="O102" s="852"/>
      <c r="P102" s="852"/>
      <c r="Q102" s="852"/>
      <c r="R102" s="852"/>
      <c r="S102" s="852">
        <f t="shared" si="41"/>
        <v>100000</v>
      </c>
      <c r="T102" s="853"/>
      <c r="U102" s="853"/>
      <c r="V102" s="853">
        <v>100000</v>
      </c>
    </row>
    <row r="103" spans="1:22" s="888" customFormat="1" ht="41.45" customHeight="1">
      <c r="A103" s="884" t="s">
        <v>19</v>
      </c>
      <c r="B103" s="917" t="s">
        <v>962</v>
      </c>
      <c r="C103" s="849"/>
      <c r="D103" s="850" t="s">
        <v>912</v>
      </c>
      <c r="E103" s="850"/>
      <c r="F103" s="894" t="s">
        <v>963</v>
      </c>
      <c r="G103" s="895">
        <v>75000</v>
      </c>
      <c r="H103" s="895"/>
      <c r="I103" s="895"/>
      <c r="J103" s="896">
        <v>75000</v>
      </c>
      <c r="K103" s="852">
        <f>SUM(L103:N103)</f>
        <v>60667</v>
      </c>
      <c r="L103" s="852"/>
      <c r="M103" s="852"/>
      <c r="N103" s="852">
        <v>60667</v>
      </c>
      <c r="O103" s="852">
        <f>SUM(P103:R103)</f>
        <v>60667</v>
      </c>
      <c r="P103" s="852"/>
      <c r="Q103" s="852"/>
      <c r="R103" s="852">
        <v>60667</v>
      </c>
      <c r="S103" s="852">
        <f t="shared" si="41"/>
        <v>14330</v>
      </c>
      <c r="T103" s="853" t="s">
        <v>848</v>
      </c>
      <c r="U103" s="853" t="s">
        <v>848</v>
      </c>
      <c r="V103" s="1003">
        <f>14333-3</f>
        <v>14330</v>
      </c>
    </row>
    <row r="104" spans="1:22" s="888" customFormat="1" ht="41.45" customHeight="1">
      <c r="A104" s="884" t="s">
        <v>19</v>
      </c>
      <c r="B104" s="886" t="s">
        <v>926</v>
      </c>
      <c r="C104" s="849"/>
      <c r="D104" s="850" t="s">
        <v>912</v>
      </c>
      <c r="E104" s="850"/>
      <c r="F104" s="894" t="s">
        <v>927</v>
      </c>
      <c r="G104" s="895">
        <v>457126</v>
      </c>
      <c r="H104" s="895"/>
      <c r="I104" s="895"/>
      <c r="J104" s="896">
        <v>457126</v>
      </c>
      <c r="K104" s="852">
        <f>SUM(L104:N104)</f>
        <v>17993</v>
      </c>
      <c r="L104" s="852"/>
      <c r="M104" s="852"/>
      <c r="N104" s="852">
        <v>17993</v>
      </c>
      <c r="O104" s="852">
        <f>SUM(P104:R104)</f>
        <v>17993</v>
      </c>
      <c r="P104" s="852"/>
      <c r="Q104" s="852"/>
      <c r="R104" s="852">
        <v>17993</v>
      </c>
      <c r="S104" s="852">
        <f t="shared" si="41"/>
        <v>229000</v>
      </c>
      <c r="T104" s="853" t="s">
        <v>848</v>
      </c>
      <c r="U104" s="853" t="s">
        <v>848</v>
      </c>
      <c r="V104" s="1003">
        <f>230000-1000</f>
        <v>229000</v>
      </c>
    </row>
    <row r="105" spans="1:22" s="888" customFormat="1" ht="41.45" customHeight="1">
      <c r="A105" s="884" t="s">
        <v>19</v>
      </c>
      <c r="B105" s="886" t="s">
        <v>1181</v>
      </c>
      <c r="C105" s="849"/>
      <c r="D105" s="850" t="s">
        <v>912</v>
      </c>
      <c r="E105" s="850"/>
      <c r="F105" s="858" t="s">
        <v>1182</v>
      </c>
      <c r="G105" s="787">
        <v>197223</v>
      </c>
      <c r="H105" s="895"/>
      <c r="I105" s="895"/>
      <c r="J105" s="787">
        <v>197223</v>
      </c>
      <c r="K105" s="852">
        <f>SUM(L105:N105)</f>
        <v>84000</v>
      </c>
      <c r="L105" s="852"/>
      <c r="M105" s="852"/>
      <c r="N105" s="859">
        <v>84000</v>
      </c>
      <c r="O105" s="852">
        <f>SUM(P105:R105)</f>
        <v>84000</v>
      </c>
      <c r="P105" s="852"/>
      <c r="Q105" s="852"/>
      <c r="R105" s="859">
        <v>84000</v>
      </c>
      <c r="S105" s="852">
        <f t="shared" si="41"/>
        <v>11266</v>
      </c>
      <c r="T105" s="853"/>
      <c r="U105" s="853"/>
      <c r="V105" s="853">
        <v>11266</v>
      </c>
    </row>
    <row r="106" spans="1:22" s="888" customFormat="1" ht="41.45" customHeight="1">
      <c r="A106" s="884" t="s">
        <v>19</v>
      </c>
      <c r="B106" s="886" t="s">
        <v>925</v>
      </c>
      <c r="C106" s="849"/>
      <c r="D106" s="850" t="s">
        <v>912</v>
      </c>
      <c r="E106" s="850"/>
      <c r="F106" s="858" t="s">
        <v>1160</v>
      </c>
      <c r="G106" s="787">
        <v>87000</v>
      </c>
      <c r="H106" s="895"/>
      <c r="I106" s="895"/>
      <c r="J106" s="787">
        <v>87000</v>
      </c>
      <c r="K106" s="852">
        <f>SUM(L106:N106)</f>
        <v>10000</v>
      </c>
      <c r="L106" s="852"/>
      <c r="M106" s="852"/>
      <c r="N106" s="859">
        <v>10000</v>
      </c>
      <c r="O106" s="852">
        <f>SUM(P106:R106)</f>
        <v>10000</v>
      </c>
      <c r="P106" s="852"/>
      <c r="Q106" s="852"/>
      <c r="R106" s="859">
        <v>10000</v>
      </c>
      <c r="S106" s="852">
        <f t="shared" si="41"/>
        <v>11000</v>
      </c>
      <c r="T106" s="853"/>
      <c r="U106" s="853"/>
      <c r="V106" s="853">
        <v>11000</v>
      </c>
    </row>
    <row r="107" spans="1:22" s="888" customFormat="1" ht="41.45" customHeight="1">
      <c r="A107" s="884" t="s">
        <v>19</v>
      </c>
      <c r="B107" s="869" t="s">
        <v>1183</v>
      </c>
      <c r="C107" s="849"/>
      <c r="D107" s="850" t="s">
        <v>912</v>
      </c>
      <c r="E107" s="850"/>
      <c r="F107" s="858" t="s">
        <v>1184</v>
      </c>
      <c r="G107" s="787">
        <v>100000</v>
      </c>
      <c r="H107" s="895"/>
      <c r="I107" s="895"/>
      <c r="J107" s="787">
        <v>100000</v>
      </c>
      <c r="K107" s="852">
        <f>SUM(L107:N107)</f>
        <v>170</v>
      </c>
      <c r="L107" s="852"/>
      <c r="M107" s="852"/>
      <c r="N107" s="859">
        <v>170</v>
      </c>
      <c r="O107" s="852">
        <f>SUM(P107:R107)</f>
        <v>170</v>
      </c>
      <c r="P107" s="852"/>
      <c r="Q107" s="852"/>
      <c r="R107" s="859">
        <v>170</v>
      </c>
      <c r="S107" s="852">
        <f t="shared" si="41"/>
        <v>2000</v>
      </c>
      <c r="T107" s="853"/>
      <c r="U107" s="853"/>
      <c r="V107" s="853">
        <v>2000</v>
      </c>
    </row>
    <row r="108" spans="1:22" s="888" customFormat="1" ht="41.45" customHeight="1">
      <c r="A108" s="884" t="s">
        <v>19</v>
      </c>
      <c r="B108" s="869" t="s">
        <v>1185</v>
      </c>
      <c r="C108" s="849"/>
      <c r="D108" s="850"/>
      <c r="E108" s="850"/>
      <c r="F108" s="858" t="s">
        <v>1186</v>
      </c>
      <c r="G108" s="787">
        <v>127040</v>
      </c>
      <c r="H108" s="895"/>
      <c r="I108" s="895"/>
      <c r="J108" s="787">
        <v>127040</v>
      </c>
      <c r="K108" s="852">
        <f t="shared" ref="K108:K112" si="42">SUM(L108:N108)</f>
        <v>0</v>
      </c>
      <c r="L108" s="852"/>
      <c r="M108" s="852"/>
      <c r="N108" s="859"/>
      <c r="O108" s="852">
        <f t="shared" ref="O108:O112" si="43">SUM(P108:R108)</f>
        <v>0</v>
      </c>
      <c r="P108" s="852"/>
      <c r="Q108" s="852"/>
      <c r="R108" s="859"/>
      <c r="S108" s="852">
        <f t="shared" si="41"/>
        <v>35000</v>
      </c>
      <c r="T108" s="853"/>
      <c r="U108" s="853"/>
      <c r="V108" s="1003">
        <f>30000+5000</f>
        <v>35000</v>
      </c>
    </row>
    <row r="109" spans="1:22" s="888" customFormat="1" ht="41.45" customHeight="1">
      <c r="A109" s="884" t="s">
        <v>19</v>
      </c>
      <c r="B109" s="869" t="s">
        <v>1187</v>
      </c>
      <c r="C109" s="849"/>
      <c r="D109" s="850"/>
      <c r="E109" s="850"/>
      <c r="F109" s="858" t="s">
        <v>1188</v>
      </c>
      <c r="G109" s="787">
        <v>605689</v>
      </c>
      <c r="H109" s="895"/>
      <c r="I109" s="895"/>
      <c r="J109" s="787">
        <v>605689</v>
      </c>
      <c r="K109" s="852">
        <f t="shared" si="42"/>
        <v>19804</v>
      </c>
      <c r="L109" s="852"/>
      <c r="M109" s="852"/>
      <c r="N109" s="859">
        <v>19804</v>
      </c>
      <c r="O109" s="852">
        <f t="shared" si="43"/>
        <v>19804</v>
      </c>
      <c r="P109" s="852"/>
      <c r="Q109" s="852"/>
      <c r="R109" s="859">
        <v>19804</v>
      </c>
      <c r="S109" s="852">
        <f t="shared" si="41"/>
        <v>20000</v>
      </c>
      <c r="T109" s="853"/>
      <c r="U109" s="853"/>
      <c r="V109" s="859">
        <v>20000</v>
      </c>
    </row>
    <row r="110" spans="1:22" s="888" customFormat="1" ht="41.45" customHeight="1">
      <c r="A110" s="884" t="s">
        <v>19</v>
      </c>
      <c r="B110" s="870" t="s">
        <v>1189</v>
      </c>
      <c r="C110" s="849"/>
      <c r="D110" s="850"/>
      <c r="E110" s="850"/>
      <c r="F110" s="871" t="s">
        <v>1190</v>
      </c>
      <c r="G110" s="788">
        <v>609663</v>
      </c>
      <c r="H110" s="895"/>
      <c r="I110" s="895"/>
      <c r="J110" s="788">
        <v>609663</v>
      </c>
      <c r="K110" s="852">
        <f t="shared" si="42"/>
        <v>19112</v>
      </c>
      <c r="L110" s="852"/>
      <c r="M110" s="852"/>
      <c r="N110" s="872">
        <v>19112</v>
      </c>
      <c r="O110" s="852">
        <f t="shared" si="43"/>
        <v>19112</v>
      </c>
      <c r="P110" s="852"/>
      <c r="Q110" s="852"/>
      <c r="R110" s="872">
        <v>19112</v>
      </c>
      <c r="S110" s="852">
        <f t="shared" si="41"/>
        <v>20000</v>
      </c>
      <c r="T110" s="853"/>
      <c r="U110" s="853"/>
      <c r="V110" s="872">
        <v>20000</v>
      </c>
    </row>
    <row r="111" spans="1:22" s="893" customFormat="1">
      <c r="A111" s="921">
        <v>4</v>
      </c>
      <c r="B111" s="873" t="s">
        <v>1191</v>
      </c>
      <c r="C111" s="909"/>
      <c r="D111" s="910"/>
      <c r="E111" s="910"/>
      <c r="F111" s="874"/>
      <c r="G111" s="342">
        <f t="shared" ref="G111:U111" si="44">SUBTOTAL(9,G112:G112)</f>
        <v>245000</v>
      </c>
      <c r="H111" s="342">
        <f t="shared" si="44"/>
        <v>0</v>
      </c>
      <c r="I111" s="342">
        <f t="shared" si="44"/>
        <v>0</v>
      </c>
      <c r="J111" s="342">
        <f t="shared" si="44"/>
        <v>245000</v>
      </c>
      <c r="K111" s="342">
        <f t="shared" si="44"/>
        <v>106092</v>
      </c>
      <c r="L111" s="342">
        <f t="shared" si="44"/>
        <v>0</v>
      </c>
      <c r="M111" s="342">
        <f t="shared" si="44"/>
        <v>0</v>
      </c>
      <c r="N111" s="342">
        <f t="shared" si="44"/>
        <v>106092</v>
      </c>
      <c r="O111" s="342">
        <f t="shared" si="44"/>
        <v>106092</v>
      </c>
      <c r="P111" s="342">
        <f t="shared" si="44"/>
        <v>0</v>
      </c>
      <c r="Q111" s="342">
        <f t="shared" si="44"/>
        <v>0</v>
      </c>
      <c r="R111" s="342">
        <f t="shared" si="44"/>
        <v>106092</v>
      </c>
      <c r="S111" s="342">
        <f t="shared" si="44"/>
        <v>114000</v>
      </c>
      <c r="T111" s="342">
        <f t="shared" si="44"/>
        <v>0</v>
      </c>
      <c r="U111" s="342">
        <f t="shared" si="44"/>
        <v>0</v>
      </c>
      <c r="V111" s="342">
        <f>SUBTOTAL(9,V112:V112)</f>
        <v>114000</v>
      </c>
    </row>
    <row r="112" spans="1:22" s="888" customFormat="1" ht="34.15" customHeight="1">
      <c r="A112" s="884"/>
      <c r="B112" s="881" t="s">
        <v>1192</v>
      </c>
      <c r="C112" s="849"/>
      <c r="D112" s="850" t="s">
        <v>912</v>
      </c>
      <c r="E112" s="850"/>
      <c r="F112" s="867" t="s">
        <v>1193</v>
      </c>
      <c r="G112" s="786">
        <v>245000</v>
      </c>
      <c r="H112" s="895"/>
      <c r="I112" s="895"/>
      <c r="J112" s="786">
        <v>245000</v>
      </c>
      <c r="K112" s="852">
        <f t="shared" si="42"/>
        <v>106092</v>
      </c>
      <c r="L112" s="852"/>
      <c r="M112" s="852"/>
      <c r="N112" s="875">
        <v>106092</v>
      </c>
      <c r="O112" s="852">
        <f t="shared" si="43"/>
        <v>106092</v>
      </c>
      <c r="P112" s="852"/>
      <c r="Q112" s="852"/>
      <c r="R112" s="875">
        <v>106092</v>
      </c>
      <c r="S112" s="852">
        <f t="shared" si="41"/>
        <v>114000</v>
      </c>
      <c r="T112" s="853"/>
      <c r="U112" s="853"/>
      <c r="V112" s="875">
        <v>114000</v>
      </c>
    </row>
    <row r="113" spans="1:22" s="893" customFormat="1">
      <c r="A113" s="921">
        <v>5</v>
      </c>
      <c r="B113" s="876" t="s">
        <v>855</v>
      </c>
      <c r="C113" s="909"/>
      <c r="D113" s="910"/>
      <c r="E113" s="910"/>
      <c r="F113" s="874"/>
      <c r="G113" s="342">
        <f t="shared" ref="G113:V115" si="45">SUBTOTAL(9,G114:G114)</f>
        <v>86550</v>
      </c>
      <c r="H113" s="342">
        <f t="shared" si="45"/>
        <v>0</v>
      </c>
      <c r="I113" s="342">
        <f t="shared" si="45"/>
        <v>0</v>
      </c>
      <c r="J113" s="342">
        <f t="shared" si="45"/>
        <v>70000</v>
      </c>
      <c r="K113" s="342">
        <f t="shared" si="45"/>
        <v>0</v>
      </c>
      <c r="L113" s="342">
        <f t="shared" si="45"/>
        <v>0</v>
      </c>
      <c r="M113" s="342">
        <f t="shared" si="45"/>
        <v>0</v>
      </c>
      <c r="N113" s="342">
        <f t="shared" si="45"/>
        <v>0</v>
      </c>
      <c r="O113" s="342">
        <f t="shared" si="45"/>
        <v>0</v>
      </c>
      <c r="P113" s="342">
        <f t="shared" si="45"/>
        <v>0</v>
      </c>
      <c r="Q113" s="342">
        <f t="shared" si="45"/>
        <v>0</v>
      </c>
      <c r="R113" s="342">
        <f t="shared" si="45"/>
        <v>0</v>
      </c>
      <c r="S113" s="342">
        <f t="shared" si="45"/>
        <v>45000</v>
      </c>
      <c r="T113" s="342">
        <f t="shared" si="45"/>
        <v>0</v>
      </c>
      <c r="U113" s="342">
        <f t="shared" si="45"/>
        <v>0</v>
      </c>
      <c r="V113" s="342">
        <f t="shared" si="45"/>
        <v>45000</v>
      </c>
    </row>
    <row r="114" spans="1:22" s="888" customFormat="1" ht="60.6" customHeight="1">
      <c r="A114" s="884"/>
      <c r="B114" s="877" t="s">
        <v>942</v>
      </c>
      <c r="C114" s="849"/>
      <c r="D114" s="850"/>
      <c r="E114" s="850"/>
      <c r="F114" s="858" t="s">
        <v>1194</v>
      </c>
      <c r="G114" s="787">
        <v>86550</v>
      </c>
      <c r="H114" s="895"/>
      <c r="I114" s="895"/>
      <c r="J114" s="789">
        <v>70000</v>
      </c>
      <c r="K114" s="852"/>
      <c r="L114" s="852"/>
      <c r="M114" s="852"/>
      <c r="N114" s="875"/>
      <c r="O114" s="852"/>
      <c r="P114" s="852"/>
      <c r="Q114" s="852"/>
      <c r="R114" s="875"/>
      <c r="S114" s="852">
        <f t="shared" si="41"/>
        <v>45000</v>
      </c>
      <c r="T114" s="853"/>
      <c r="U114" s="853"/>
      <c r="V114" s="875">
        <v>45000</v>
      </c>
    </row>
    <row r="115" spans="1:22" s="893" customFormat="1">
      <c r="A115" s="921">
        <v>6</v>
      </c>
      <c r="B115" s="876" t="s">
        <v>863</v>
      </c>
      <c r="C115" s="909"/>
      <c r="D115" s="910"/>
      <c r="E115" s="910"/>
      <c r="F115" s="874"/>
      <c r="G115" s="342">
        <f t="shared" ref="G115:V117" si="46">SUBTOTAL(9,G116:G116)</f>
        <v>110000</v>
      </c>
      <c r="H115" s="342">
        <f t="shared" si="46"/>
        <v>0</v>
      </c>
      <c r="I115" s="342">
        <f t="shared" si="46"/>
        <v>0</v>
      </c>
      <c r="J115" s="342">
        <f t="shared" si="46"/>
        <v>38391</v>
      </c>
      <c r="K115" s="342">
        <f t="shared" si="46"/>
        <v>0</v>
      </c>
      <c r="L115" s="342">
        <f t="shared" si="46"/>
        <v>0</v>
      </c>
      <c r="M115" s="342">
        <f t="shared" si="46"/>
        <v>0</v>
      </c>
      <c r="N115" s="342">
        <f t="shared" si="46"/>
        <v>0</v>
      </c>
      <c r="O115" s="342">
        <f t="shared" si="46"/>
        <v>0</v>
      </c>
      <c r="P115" s="342">
        <f t="shared" si="46"/>
        <v>0</v>
      </c>
      <c r="Q115" s="342">
        <f t="shared" si="46"/>
        <v>0</v>
      </c>
      <c r="R115" s="342">
        <f t="shared" si="46"/>
        <v>0</v>
      </c>
      <c r="S115" s="342">
        <f t="shared" si="46"/>
        <v>38300</v>
      </c>
      <c r="T115" s="342">
        <f t="shared" si="46"/>
        <v>0</v>
      </c>
      <c r="U115" s="342">
        <f t="shared" si="46"/>
        <v>0</v>
      </c>
      <c r="V115" s="342">
        <f t="shared" si="45"/>
        <v>38300</v>
      </c>
    </row>
    <row r="116" spans="1:22" s="888" customFormat="1" ht="38.25">
      <c r="A116" s="884"/>
      <c r="B116" s="869" t="s">
        <v>1195</v>
      </c>
      <c r="C116" s="849"/>
      <c r="D116" s="850"/>
      <c r="E116" s="850"/>
      <c r="F116" s="858" t="s">
        <v>1196</v>
      </c>
      <c r="G116" s="789">
        <v>110000</v>
      </c>
      <c r="H116" s="895"/>
      <c r="I116" s="895"/>
      <c r="J116" s="789">
        <v>38391</v>
      </c>
      <c r="K116" s="852">
        <f t="shared" ref="K116:K122" si="47">SUM(L116:N116)</f>
        <v>0</v>
      </c>
      <c r="L116" s="852"/>
      <c r="M116" s="852"/>
      <c r="N116" s="875"/>
      <c r="O116" s="852">
        <f t="shared" ref="O116:O122" si="48">SUM(P116:R116)</f>
        <v>0</v>
      </c>
      <c r="P116" s="852"/>
      <c r="Q116" s="852"/>
      <c r="R116" s="875"/>
      <c r="S116" s="852">
        <f t="shared" si="41"/>
        <v>38300</v>
      </c>
      <c r="T116" s="853"/>
      <c r="U116" s="853"/>
      <c r="V116" s="875">
        <v>38300</v>
      </c>
    </row>
    <row r="117" spans="1:22" s="893" customFormat="1">
      <c r="A117" s="921">
        <v>7</v>
      </c>
      <c r="B117" s="922" t="s">
        <v>1197</v>
      </c>
      <c r="C117" s="909"/>
      <c r="D117" s="910"/>
      <c r="E117" s="910"/>
      <c r="F117" s="878"/>
      <c r="G117" s="342">
        <f t="shared" si="46"/>
        <v>16923</v>
      </c>
      <c r="H117" s="342">
        <f t="shared" si="46"/>
        <v>0</v>
      </c>
      <c r="I117" s="342">
        <f t="shared" si="46"/>
        <v>0</v>
      </c>
      <c r="J117" s="342">
        <f t="shared" si="46"/>
        <v>16923</v>
      </c>
      <c r="K117" s="342">
        <f t="shared" si="46"/>
        <v>0</v>
      </c>
      <c r="L117" s="342">
        <f t="shared" si="46"/>
        <v>0</v>
      </c>
      <c r="M117" s="342">
        <f t="shared" si="46"/>
        <v>0</v>
      </c>
      <c r="N117" s="342">
        <f t="shared" si="46"/>
        <v>0</v>
      </c>
      <c r="O117" s="342">
        <f t="shared" si="46"/>
        <v>0</v>
      </c>
      <c r="P117" s="342">
        <f t="shared" si="46"/>
        <v>0</v>
      </c>
      <c r="Q117" s="342">
        <f t="shared" si="46"/>
        <v>0</v>
      </c>
      <c r="R117" s="342">
        <f t="shared" si="46"/>
        <v>0</v>
      </c>
      <c r="S117" s="342">
        <f t="shared" si="46"/>
        <v>16923</v>
      </c>
      <c r="T117" s="342">
        <f t="shared" si="46"/>
        <v>0</v>
      </c>
      <c r="U117" s="342">
        <f t="shared" si="46"/>
        <v>0</v>
      </c>
      <c r="V117" s="342">
        <f t="shared" si="46"/>
        <v>16923</v>
      </c>
    </row>
    <row r="118" spans="1:22" s="888" customFormat="1" ht="38.25">
      <c r="A118" s="884"/>
      <c r="B118" s="881" t="s">
        <v>1207</v>
      </c>
      <c r="C118" s="849"/>
      <c r="D118" s="850"/>
      <c r="E118" s="850"/>
      <c r="F118" s="867" t="s">
        <v>1198</v>
      </c>
      <c r="G118" s="786">
        <v>16923</v>
      </c>
      <c r="H118" s="895"/>
      <c r="I118" s="895"/>
      <c r="J118" s="786">
        <v>16923</v>
      </c>
      <c r="K118" s="852">
        <f t="shared" si="47"/>
        <v>0</v>
      </c>
      <c r="L118" s="852"/>
      <c r="M118" s="852"/>
      <c r="N118" s="786"/>
      <c r="O118" s="852">
        <f t="shared" si="48"/>
        <v>0</v>
      </c>
      <c r="P118" s="852"/>
      <c r="Q118" s="852"/>
      <c r="R118" s="786"/>
      <c r="S118" s="852">
        <f t="shared" si="41"/>
        <v>16923</v>
      </c>
      <c r="T118" s="853"/>
      <c r="U118" s="853"/>
      <c r="V118" s="859">
        <v>16923</v>
      </c>
    </row>
    <row r="119" spans="1:22" s="893" customFormat="1">
      <c r="A119" s="921">
        <v>8</v>
      </c>
      <c r="B119" s="876" t="s">
        <v>1199</v>
      </c>
      <c r="C119" s="909"/>
      <c r="D119" s="910"/>
      <c r="E119" s="910"/>
      <c r="F119" s="879"/>
      <c r="G119" s="342">
        <f t="shared" ref="G119:V119" si="49">SUBTOTAL(9,G120:G120)</f>
        <v>272240</v>
      </c>
      <c r="H119" s="342">
        <f t="shared" si="49"/>
        <v>0</v>
      </c>
      <c r="I119" s="342">
        <f t="shared" si="49"/>
        <v>0</v>
      </c>
      <c r="J119" s="342">
        <f t="shared" si="49"/>
        <v>272240</v>
      </c>
      <c r="K119" s="342">
        <f t="shared" si="49"/>
        <v>51235.887000000002</v>
      </c>
      <c r="L119" s="342">
        <f t="shared" si="49"/>
        <v>0</v>
      </c>
      <c r="M119" s="342">
        <f t="shared" si="49"/>
        <v>0</v>
      </c>
      <c r="N119" s="342">
        <f t="shared" si="49"/>
        <v>51235.887000000002</v>
      </c>
      <c r="O119" s="342">
        <f t="shared" si="49"/>
        <v>51235.887000000002</v>
      </c>
      <c r="P119" s="342">
        <f t="shared" si="49"/>
        <v>0</v>
      </c>
      <c r="Q119" s="342">
        <f t="shared" si="49"/>
        <v>0</v>
      </c>
      <c r="R119" s="342">
        <f t="shared" si="49"/>
        <v>51235.887000000002</v>
      </c>
      <c r="S119" s="342">
        <f t="shared" si="49"/>
        <v>53805</v>
      </c>
      <c r="T119" s="342">
        <f t="shared" si="49"/>
        <v>0</v>
      </c>
      <c r="U119" s="342">
        <f t="shared" si="49"/>
        <v>0</v>
      </c>
      <c r="V119" s="342">
        <f t="shared" si="49"/>
        <v>53805</v>
      </c>
    </row>
    <row r="120" spans="1:22" s="888" customFormat="1" ht="25.5">
      <c r="A120" s="884"/>
      <c r="B120" s="869" t="s">
        <v>1200</v>
      </c>
      <c r="C120" s="849"/>
      <c r="D120" s="850"/>
      <c r="E120" s="850"/>
      <c r="F120" s="858" t="s">
        <v>1201</v>
      </c>
      <c r="G120" s="859">
        <v>272240</v>
      </c>
      <c r="H120" s="895"/>
      <c r="I120" s="895"/>
      <c r="J120" s="859">
        <v>272240</v>
      </c>
      <c r="K120" s="852">
        <f t="shared" si="47"/>
        <v>51235.887000000002</v>
      </c>
      <c r="L120" s="852"/>
      <c r="M120" s="852"/>
      <c r="N120" s="859">
        <v>51235.887000000002</v>
      </c>
      <c r="O120" s="852">
        <f t="shared" si="48"/>
        <v>51235.887000000002</v>
      </c>
      <c r="P120" s="852"/>
      <c r="Q120" s="852"/>
      <c r="R120" s="859">
        <v>51235.887000000002</v>
      </c>
      <c r="S120" s="852">
        <f t="shared" si="41"/>
        <v>53805</v>
      </c>
      <c r="T120" s="853"/>
      <c r="U120" s="853"/>
      <c r="V120" s="859">
        <v>53805</v>
      </c>
    </row>
    <row r="121" spans="1:22" s="893" customFormat="1">
      <c r="A121" s="921">
        <v>9</v>
      </c>
      <c r="B121" s="876" t="s">
        <v>859</v>
      </c>
      <c r="C121" s="909"/>
      <c r="D121" s="910"/>
      <c r="E121" s="910"/>
      <c r="F121" s="878"/>
      <c r="G121" s="342">
        <f t="shared" ref="G121:V121" si="50">SUBTOTAL(9,G122:G122)</f>
        <v>99620</v>
      </c>
      <c r="H121" s="342">
        <f t="shared" si="50"/>
        <v>0</v>
      </c>
      <c r="I121" s="342">
        <f t="shared" si="50"/>
        <v>0</v>
      </c>
      <c r="J121" s="342">
        <f t="shared" si="50"/>
        <v>99620</v>
      </c>
      <c r="K121" s="342">
        <f t="shared" si="50"/>
        <v>0</v>
      </c>
      <c r="L121" s="342">
        <f t="shared" si="50"/>
        <v>0</v>
      </c>
      <c r="M121" s="342">
        <f t="shared" si="50"/>
        <v>0</v>
      </c>
      <c r="N121" s="342">
        <f t="shared" si="50"/>
        <v>0</v>
      </c>
      <c r="O121" s="342">
        <f t="shared" si="50"/>
        <v>0</v>
      </c>
      <c r="P121" s="342">
        <f t="shared" si="50"/>
        <v>0</v>
      </c>
      <c r="Q121" s="342">
        <f t="shared" si="50"/>
        <v>0</v>
      </c>
      <c r="R121" s="342">
        <f t="shared" si="50"/>
        <v>0</v>
      </c>
      <c r="S121" s="342">
        <f t="shared" si="50"/>
        <v>30000</v>
      </c>
      <c r="T121" s="342">
        <f t="shared" si="50"/>
        <v>0</v>
      </c>
      <c r="U121" s="342">
        <f t="shared" si="50"/>
        <v>0</v>
      </c>
      <c r="V121" s="342">
        <f t="shared" si="50"/>
        <v>30000</v>
      </c>
    </row>
    <row r="122" spans="1:22" s="888" customFormat="1" ht="25.5">
      <c r="A122" s="884"/>
      <c r="B122" s="869" t="s">
        <v>1202</v>
      </c>
      <c r="C122" s="849"/>
      <c r="D122" s="850"/>
      <c r="E122" s="850"/>
      <c r="F122" s="858" t="s">
        <v>1203</v>
      </c>
      <c r="G122" s="787">
        <v>99620</v>
      </c>
      <c r="H122" s="895"/>
      <c r="I122" s="895"/>
      <c r="J122" s="787">
        <v>99620</v>
      </c>
      <c r="K122" s="852">
        <f t="shared" si="47"/>
        <v>0</v>
      </c>
      <c r="L122" s="852"/>
      <c r="M122" s="852"/>
      <c r="N122" s="859"/>
      <c r="O122" s="852">
        <f t="shared" si="48"/>
        <v>0</v>
      </c>
      <c r="P122" s="852"/>
      <c r="Q122" s="852"/>
      <c r="R122" s="859"/>
      <c r="S122" s="852">
        <f t="shared" si="41"/>
        <v>30000</v>
      </c>
      <c r="T122" s="853"/>
      <c r="U122" s="853"/>
      <c r="V122" s="859">
        <v>30000</v>
      </c>
    </row>
    <row r="123" spans="1:22" s="893" customFormat="1">
      <c r="A123" s="921">
        <v>10</v>
      </c>
      <c r="B123" s="880" t="s">
        <v>174</v>
      </c>
      <c r="C123" s="909"/>
      <c r="D123" s="910"/>
      <c r="E123" s="910"/>
      <c r="F123" s="878"/>
      <c r="G123" s="342">
        <f t="shared" ref="G123:V123" si="51">SUBTOTAL(9,G124:G124)</f>
        <v>670000</v>
      </c>
      <c r="H123" s="342">
        <f t="shared" si="51"/>
        <v>0</v>
      </c>
      <c r="I123" s="342">
        <f t="shared" si="51"/>
        <v>0</v>
      </c>
      <c r="J123" s="342">
        <f t="shared" si="51"/>
        <v>335000</v>
      </c>
      <c r="K123" s="342">
        <f t="shared" si="51"/>
        <v>0</v>
      </c>
      <c r="L123" s="342">
        <f t="shared" si="51"/>
        <v>0</v>
      </c>
      <c r="M123" s="342">
        <f t="shared" si="51"/>
        <v>0</v>
      </c>
      <c r="N123" s="342">
        <f t="shared" si="51"/>
        <v>0</v>
      </c>
      <c r="O123" s="342">
        <f t="shared" si="51"/>
        <v>0</v>
      </c>
      <c r="P123" s="342">
        <f t="shared" si="51"/>
        <v>0</v>
      </c>
      <c r="Q123" s="342">
        <f t="shared" si="51"/>
        <v>0</v>
      </c>
      <c r="R123" s="342">
        <f t="shared" si="51"/>
        <v>0</v>
      </c>
      <c r="S123" s="342">
        <f t="shared" si="51"/>
        <v>70000</v>
      </c>
      <c r="T123" s="342">
        <f t="shared" si="51"/>
        <v>0</v>
      </c>
      <c r="U123" s="342">
        <f t="shared" si="51"/>
        <v>0</v>
      </c>
      <c r="V123" s="342">
        <f t="shared" si="51"/>
        <v>70000</v>
      </c>
    </row>
    <row r="124" spans="1:22" s="888" customFormat="1" ht="25.5">
      <c r="A124" s="884"/>
      <c r="B124" s="881" t="s">
        <v>1204</v>
      </c>
      <c r="C124" s="849"/>
      <c r="D124" s="850"/>
      <c r="E124" s="850"/>
      <c r="F124" s="867" t="s">
        <v>1205</v>
      </c>
      <c r="G124" s="786">
        <v>670000</v>
      </c>
      <c r="H124" s="895"/>
      <c r="I124" s="895"/>
      <c r="J124" s="786">
        <v>335000</v>
      </c>
      <c r="K124" s="852"/>
      <c r="L124" s="852"/>
      <c r="M124" s="852"/>
      <c r="N124" s="859"/>
      <c r="O124" s="852"/>
      <c r="P124" s="852"/>
      <c r="Q124" s="852"/>
      <c r="R124" s="859"/>
      <c r="S124" s="852">
        <f t="shared" si="41"/>
        <v>70000</v>
      </c>
      <c r="T124" s="853"/>
      <c r="U124" s="853"/>
      <c r="V124" s="859">
        <v>70000</v>
      </c>
    </row>
    <row r="125" spans="1:22" ht="21.95" customHeight="1">
      <c r="A125" s="843" t="s">
        <v>964</v>
      </c>
      <c r="B125" s="857" t="s">
        <v>965</v>
      </c>
      <c r="C125" s="901"/>
      <c r="D125" s="902"/>
      <c r="E125" s="902"/>
      <c r="F125" s="851"/>
      <c r="G125" s="342">
        <f>SUBTOTAL(9,G126:G143)</f>
        <v>479325.71299999999</v>
      </c>
      <c r="H125" s="342">
        <f t="shared" ref="H125:V125" si="52">SUBTOTAL(9,H126:H143)</f>
        <v>0</v>
      </c>
      <c r="I125" s="342">
        <f t="shared" si="52"/>
        <v>0</v>
      </c>
      <c r="J125" s="342">
        <f t="shared" si="52"/>
        <v>353325.71299999999</v>
      </c>
      <c r="K125" s="342">
        <f t="shared" si="52"/>
        <v>70998</v>
      </c>
      <c r="L125" s="342">
        <f t="shared" si="52"/>
        <v>0</v>
      </c>
      <c r="M125" s="342">
        <f t="shared" si="52"/>
        <v>0</v>
      </c>
      <c r="N125" s="342">
        <f t="shared" si="52"/>
        <v>70998</v>
      </c>
      <c r="O125" s="342">
        <f t="shared" si="52"/>
        <v>70998</v>
      </c>
      <c r="P125" s="342">
        <f t="shared" si="52"/>
        <v>0</v>
      </c>
      <c r="Q125" s="342">
        <f t="shared" si="52"/>
        <v>0</v>
      </c>
      <c r="R125" s="342">
        <f t="shared" si="52"/>
        <v>70998</v>
      </c>
      <c r="S125" s="342">
        <f t="shared" si="52"/>
        <v>82000</v>
      </c>
      <c r="T125" s="342">
        <f t="shared" si="52"/>
        <v>0</v>
      </c>
      <c r="U125" s="342">
        <f t="shared" si="52"/>
        <v>0</v>
      </c>
      <c r="V125" s="342">
        <f t="shared" si="52"/>
        <v>82000</v>
      </c>
    </row>
    <row r="126" spans="1:22" s="888" customFormat="1">
      <c r="A126" s="843" t="s">
        <v>966</v>
      </c>
      <c r="B126" s="845" t="s">
        <v>1206</v>
      </c>
      <c r="C126" s="901"/>
      <c r="D126" s="902"/>
      <c r="E126" s="902"/>
      <c r="F126" s="851"/>
      <c r="G126" s="342">
        <f>SUBTOTAL(9,G127:G136)</f>
        <v>0</v>
      </c>
      <c r="H126" s="342">
        <f t="shared" ref="H126:V126" si="53">SUBTOTAL(9,H127:H136)</f>
        <v>0</v>
      </c>
      <c r="I126" s="342">
        <f t="shared" si="53"/>
        <v>0</v>
      </c>
      <c r="J126" s="342">
        <f t="shared" si="53"/>
        <v>0</v>
      </c>
      <c r="K126" s="342">
        <f t="shared" si="53"/>
        <v>0</v>
      </c>
      <c r="L126" s="342">
        <f t="shared" si="53"/>
        <v>0</v>
      </c>
      <c r="M126" s="342">
        <f t="shared" si="53"/>
        <v>0</v>
      </c>
      <c r="N126" s="342">
        <f t="shared" si="53"/>
        <v>0</v>
      </c>
      <c r="O126" s="342">
        <f t="shared" si="53"/>
        <v>0</v>
      </c>
      <c r="P126" s="342">
        <f t="shared" si="53"/>
        <v>0</v>
      </c>
      <c r="Q126" s="342">
        <f t="shared" si="53"/>
        <v>0</v>
      </c>
      <c r="R126" s="342">
        <f t="shared" si="53"/>
        <v>0</v>
      </c>
      <c r="S126" s="342">
        <f t="shared" si="53"/>
        <v>0</v>
      </c>
      <c r="T126" s="342">
        <f t="shared" si="53"/>
        <v>0</v>
      </c>
      <c r="U126" s="342">
        <f t="shared" si="53"/>
        <v>0</v>
      </c>
      <c r="V126" s="342">
        <f t="shared" si="53"/>
        <v>0</v>
      </c>
    </row>
    <row r="127" spans="1:22" s="888" customFormat="1" hidden="1">
      <c r="A127" s="847">
        <v>1</v>
      </c>
      <c r="B127" s="848" t="s">
        <v>894</v>
      </c>
      <c r="C127" s="849"/>
      <c r="D127" s="850"/>
      <c r="E127" s="850"/>
      <c r="F127" s="851"/>
      <c r="G127" s="852">
        <f t="shared" ref="G127:G136" si="54">SUM(H127:J127)</f>
        <v>0</v>
      </c>
      <c r="H127" s="852"/>
      <c r="I127" s="852"/>
      <c r="J127" s="852"/>
      <c r="K127" s="852">
        <f t="shared" ref="K127:K136" si="55">SUM(L127:N127)</f>
        <v>0</v>
      </c>
      <c r="L127" s="852"/>
      <c r="M127" s="852"/>
      <c r="N127" s="852"/>
      <c r="O127" s="852">
        <f t="shared" ref="O127:O136" si="56">SUM(P127:R127)</f>
        <v>0</v>
      </c>
      <c r="P127" s="852"/>
      <c r="Q127" s="852"/>
      <c r="R127" s="852"/>
      <c r="S127" s="852">
        <f t="shared" ref="S127:S136" si="57">SUM(T127:V127)</f>
        <v>0</v>
      </c>
      <c r="T127" s="853" t="s">
        <v>848</v>
      </c>
      <c r="U127" s="853" t="s">
        <v>848</v>
      </c>
      <c r="V127" s="853"/>
    </row>
    <row r="128" spans="1:22" s="888" customFormat="1" hidden="1">
      <c r="A128" s="847">
        <v>2</v>
      </c>
      <c r="B128" s="854" t="s">
        <v>895</v>
      </c>
      <c r="C128" s="849"/>
      <c r="D128" s="850"/>
      <c r="E128" s="850"/>
      <c r="F128" s="851"/>
      <c r="G128" s="852">
        <f t="shared" si="54"/>
        <v>0</v>
      </c>
      <c r="H128" s="852"/>
      <c r="I128" s="852"/>
      <c r="J128" s="852"/>
      <c r="K128" s="852">
        <f t="shared" si="55"/>
        <v>0</v>
      </c>
      <c r="L128" s="852"/>
      <c r="M128" s="852"/>
      <c r="N128" s="852"/>
      <c r="O128" s="852">
        <f t="shared" si="56"/>
        <v>0</v>
      </c>
      <c r="P128" s="852"/>
      <c r="Q128" s="852"/>
      <c r="R128" s="852"/>
      <c r="S128" s="852">
        <f t="shared" si="57"/>
        <v>0</v>
      </c>
      <c r="T128" s="853" t="s">
        <v>848</v>
      </c>
      <c r="U128" s="853" t="s">
        <v>848</v>
      </c>
      <c r="V128" s="853"/>
    </row>
    <row r="129" spans="1:22" s="888" customFormat="1" hidden="1">
      <c r="A129" s="847">
        <v>3</v>
      </c>
      <c r="B129" s="854" t="s">
        <v>859</v>
      </c>
      <c r="C129" s="849"/>
      <c r="D129" s="850"/>
      <c r="E129" s="850"/>
      <c r="F129" s="851"/>
      <c r="G129" s="852">
        <f t="shared" si="54"/>
        <v>0</v>
      </c>
      <c r="H129" s="852"/>
      <c r="I129" s="852"/>
      <c r="J129" s="852"/>
      <c r="K129" s="852">
        <f t="shared" si="55"/>
        <v>0</v>
      </c>
      <c r="L129" s="852"/>
      <c r="M129" s="852"/>
      <c r="N129" s="852"/>
      <c r="O129" s="852">
        <f t="shared" si="56"/>
        <v>0</v>
      </c>
      <c r="P129" s="852"/>
      <c r="Q129" s="852"/>
      <c r="R129" s="852"/>
      <c r="S129" s="852">
        <f t="shared" si="57"/>
        <v>0</v>
      </c>
      <c r="T129" s="853" t="s">
        <v>848</v>
      </c>
      <c r="U129" s="853" t="s">
        <v>848</v>
      </c>
      <c r="V129" s="853">
        <v>0</v>
      </c>
    </row>
    <row r="130" spans="1:22" s="888" customFormat="1" hidden="1">
      <c r="A130" s="847">
        <v>4</v>
      </c>
      <c r="B130" s="854" t="s">
        <v>192</v>
      </c>
      <c r="C130" s="849"/>
      <c r="D130" s="850"/>
      <c r="E130" s="850"/>
      <c r="F130" s="851"/>
      <c r="G130" s="852">
        <f t="shared" si="54"/>
        <v>0</v>
      </c>
      <c r="H130" s="852"/>
      <c r="I130" s="852"/>
      <c r="J130" s="852"/>
      <c r="K130" s="852">
        <f t="shared" si="55"/>
        <v>0</v>
      </c>
      <c r="L130" s="852"/>
      <c r="M130" s="852"/>
      <c r="N130" s="852"/>
      <c r="O130" s="852">
        <f t="shared" si="56"/>
        <v>0</v>
      </c>
      <c r="P130" s="852"/>
      <c r="Q130" s="852"/>
      <c r="R130" s="852"/>
      <c r="S130" s="852">
        <f t="shared" si="57"/>
        <v>0</v>
      </c>
      <c r="T130" s="853" t="s">
        <v>848</v>
      </c>
      <c r="U130" s="853" t="s">
        <v>848</v>
      </c>
      <c r="V130" s="853"/>
    </row>
    <row r="131" spans="1:22" s="888" customFormat="1" hidden="1">
      <c r="A131" s="847">
        <v>5</v>
      </c>
      <c r="B131" s="854" t="s">
        <v>857</v>
      </c>
      <c r="C131" s="849"/>
      <c r="D131" s="850"/>
      <c r="E131" s="850"/>
      <c r="F131" s="851"/>
      <c r="G131" s="852">
        <f t="shared" si="54"/>
        <v>0</v>
      </c>
      <c r="H131" s="852"/>
      <c r="I131" s="852"/>
      <c r="J131" s="852"/>
      <c r="K131" s="852">
        <f t="shared" si="55"/>
        <v>0</v>
      </c>
      <c r="L131" s="852"/>
      <c r="M131" s="852"/>
      <c r="N131" s="852"/>
      <c r="O131" s="852">
        <f t="shared" si="56"/>
        <v>0</v>
      </c>
      <c r="P131" s="852"/>
      <c r="Q131" s="852"/>
      <c r="R131" s="852"/>
      <c r="S131" s="852">
        <f t="shared" si="57"/>
        <v>0</v>
      </c>
      <c r="T131" s="853" t="s">
        <v>848</v>
      </c>
      <c r="U131" s="853" t="s">
        <v>848</v>
      </c>
      <c r="V131" s="853"/>
    </row>
    <row r="132" spans="1:22" s="888" customFormat="1" hidden="1">
      <c r="A132" s="847">
        <v>6</v>
      </c>
      <c r="B132" s="856" t="s">
        <v>855</v>
      </c>
      <c r="C132" s="849"/>
      <c r="D132" s="850"/>
      <c r="E132" s="850"/>
      <c r="F132" s="851"/>
      <c r="G132" s="852">
        <f t="shared" si="54"/>
        <v>0</v>
      </c>
      <c r="H132" s="852"/>
      <c r="I132" s="852"/>
      <c r="J132" s="852"/>
      <c r="K132" s="852">
        <f t="shared" si="55"/>
        <v>0</v>
      </c>
      <c r="L132" s="852"/>
      <c r="M132" s="852"/>
      <c r="N132" s="852"/>
      <c r="O132" s="852">
        <f t="shared" si="56"/>
        <v>0</v>
      </c>
      <c r="P132" s="852"/>
      <c r="Q132" s="852"/>
      <c r="R132" s="852"/>
      <c r="S132" s="852">
        <f t="shared" si="57"/>
        <v>0</v>
      </c>
      <c r="T132" s="853" t="s">
        <v>848</v>
      </c>
      <c r="U132" s="853" t="s">
        <v>848</v>
      </c>
      <c r="V132" s="853">
        <v>0</v>
      </c>
    </row>
    <row r="133" spans="1:22" s="888" customFormat="1" hidden="1">
      <c r="A133" s="847">
        <v>7</v>
      </c>
      <c r="B133" s="854" t="s">
        <v>856</v>
      </c>
      <c r="C133" s="849"/>
      <c r="D133" s="850"/>
      <c r="E133" s="850"/>
      <c r="F133" s="851"/>
      <c r="G133" s="852">
        <f t="shared" si="54"/>
        <v>0</v>
      </c>
      <c r="H133" s="852"/>
      <c r="I133" s="852"/>
      <c r="J133" s="852"/>
      <c r="K133" s="852">
        <f t="shared" si="55"/>
        <v>0</v>
      </c>
      <c r="L133" s="852"/>
      <c r="M133" s="852"/>
      <c r="N133" s="852"/>
      <c r="O133" s="852">
        <f t="shared" si="56"/>
        <v>0</v>
      </c>
      <c r="P133" s="852"/>
      <c r="Q133" s="852"/>
      <c r="R133" s="852"/>
      <c r="S133" s="852">
        <f t="shared" si="57"/>
        <v>0</v>
      </c>
      <c r="T133" s="853" t="s">
        <v>848</v>
      </c>
      <c r="U133" s="853" t="s">
        <v>848</v>
      </c>
      <c r="V133" s="853">
        <v>0</v>
      </c>
    </row>
    <row r="134" spans="1:22" s="888" customFormat="1" hidden="1">
      <c r="A134" s="847">
        <v>8</v>
      </c>
      <c r="B134" s="848" t="s">
        <v>279</v>
      </c>
      <c r="C134" s="849"/>
      <c r="D134" s="850"/>
      <c r="E134" s="850"/>
      <c r="F134" s="851"/>
      <c r="G134" s="852">
        <f t="shared" si="54"/>
        <v>0</v>
      </c>
      <c r="H134" s="852"/>
      <c r="I134" s="852"/>
      <c r="J134" s="852"/>
      <c r="K134" s="852">
        <f t="shared" si="55"/>
        <v>0</v>
      </c>
      <c r="L134" s="852"/>
      <c r="M134" s="852"/>
      <c r="N134" s="852"/>
      <c r="O134" s="852">
        <f t="shared" si="56"/>
        <v>0</v>
      </c>
      <c r="P134" s="852"/>
      <c r="Q134" s="852"/>
      <c r="R134" s="852"/>
      <c r="S134" s="852">
        <f t="shared" si="57"/>
        <v>0</v>
      </c>
      <c r="T134" s="853" t="s">
        <v>848</v>
      </c>
      <c r="U134" s="853" t="s">
        <v>848</v>
      </c>
      <c r="V134" s="853"/>
    </row>
    <row r="135" spans="1:22" s="888" customFormat="1" hidden="1">
      <c r="A135" s="847">
        <v>9</v>
      </c>
      <c r="B135" s="854" t="s">
        <v>190</v>
      </c>
      <c r="C135" s="849"/>
      <c r="D135" s="850"/>
      <c r="E135" s="850"/>
      <c r="F135" s="851"/>
      <c r="G135" s="852">
        <f t="shared" si="54"/>
        <v>0</v>
      </c>
      <c r="H135" s="852"/>
      <c r="I135" s="852"/>
      <c r="J135" s="852"/>
      <c r="K135" s="852">
        <f t="shared" si="55"/>
        <v>0</v>
      </c>
      <c r="L135" s="852"/>
      <c r="M135" s="852"/>
      <c r="N135" s="852"/>
      <c r="O135" s="852">
        <f t="shared" si="56"/>
        <v>0</v>
      </c>
      <c r="P135" s="852"/>
      <c r="Q135" s="852"/>
      <c r="R135" s="852"/>
      <c r="S135" s="852">
        <f t="shared" si="57"/>
        <v>0</v>
      </c>
      <c r="T135" s="853" t="s">
        <v>848</v>
      </c>
      <c r="U135" s="853" t="s">
        <v>848</v>
      </c>
      <c r="V135" s="853">
        <v>0</v>
      </c>
    </row>
    <row r="136" spans="1:22" s="888" customFormat="1" hidden="1">
      <c r="A136" s="847">
        <v>10</v>
      </c>
      <c r="B136" s="848" t="s">
        <v>712</v>
      </c>
      <c r="C136" s="849"/>
      <c r="D136" s="850"/>
      <c r="E136" s="850"/>
      <c r="F136" s="851"/>
      <c r="G136" s="852">
        <f t="shared" si="54"/>
        <v>0</v>
      </c>
      <c r="H136" s="852"/>
      <c r="I136" s="852"/>
      <c r="J136" s="852"/>
      <c r="K136" s="852">
        <f t="shared" si="55"/>
        <v>0</v>
      </c>
      <c r="L136" s="852"/>
      <c r="M136" s="852"/>
      <c r="N136" s="852"/>
      <c r="O136" s="852">
        <f t="shared" si="56"/>
        <v>0</v>
      </c>
      <c r="P136" s="852"/>
      <c r="Q136" s="852"/>
      <c r="R136" s="852"/>
      <c r="S136" s="852">
        <f t="shared" si="57"/>
        <v>0</v>
      </c>
      <c r="T136" s="853" t="s">
        <v>848</v>
      </c>
      <c r="U136" s="853" t="s">
        <v>848</v>
      </c>
      <c r="V136" s="853"/>
    </row>
    <row r="137" spans="1:22" s="888" customFormat="1">
      <c r="A137" s="843" t="s">
        <v>1166</v>
      </c>
      <c r="B137" s="900" t="s">
        <v>897</v>
      </c>
      <c r="C137" s="901"/>
      <c r="D137" s="902"/>
      <c r="E137" s="902"/>
      <c r="F137" s="851"/>
      <c r="G137" s="342">
        <f>SUBTOTAL(9,G138:G143)</f>
        <v>479325.71299999999</v>
      </c>
      <c r="H137" s="342">
        <f t="shared" ref="H137:V137" si="58">SUBTOTAL(9,H138:H143)</f>
        <v>0</v>
      </c>
      <c r="I137" s="342">
        <f t="shared" si="58"/>
        <v>0</v>
      </c>
      <c r="J137" s="342">
        <f t="shared" si="58"/>
        <v>353325.71299999999</v>
      </c>
      <c r="K137" s="342">
        <f t="shared" si="58"/>
        <v>70998</v>
      </c>
      <c r="L137" s="342">
        <f t="shared" si="58"/>
        <v>0</v>
      </c>
      <c r="M137" s="342">
        <f t="shared" si="58"/>
        <v>0</v>
      </c>
      <c r="N137" s="342">
        <f t="shared" si="58"/>
        <v>70998</v>
      </c>
      <c r="O137" s="342">
        <f t="shared" si="58"/>
        <v>70998</v>
      </c>
      <c r="P137" s="342">
        <f t="shared" si="58"/>
        <v>0</v>
      </c>
      <c r="Q137" s="342">
        <f t="shared" si="58"/>
        <v>0</v>
      </c>
      <c r="R137" s="342">
        <f t="shared" si="58"/>
        <v>70998</v>
      </c>
      <c r="S137" s="342">
        <f t="shared" si="58"/>
        <v>82000</v>
      </c>
      <c r="T137" s="342">
        <f t="shared" si="58"/>
        <v>0</v>
      </c>
      <c r="U137" s="342">
        <f t="shared" si="58"/>
        <v>0</v>
      </c>
      <c r="V137" s="342">
        <f t="shared" si="58"/>
        <v>82000</v>
      </c>
    </row>
    <row r="138" spans="1:22" s="888" customFormat="1" ht="32.1" customHeight="1">
      <c r="A138" s="843" t="s">
        <v>967</v>
      </c>
      <c r="B138" s="845" t="s">
        <v>968</v>
      </c>
      <c r="C138" s="901"/>
      <c r="D138" s="902"/>
      <c r="E138" s="902"/>
      <c r="F138" s="851"/>
      <c r="G138" s="342">
        <f>SUBTOTAL(9,G139:G140)</f>
        <v>205000</v>
      </c>
      <c r="H138" s="342">
        <f t="shared" ref="H138:V138" si="59">SUBTOTAL(9,H139:H140)</f>
        <v>0</v>
      </c>
      <c r="I138" s="342">
        <f t="shared" si="59"/>
        <v>0</v>
      </c>
      <c r="J138" s="342">
        <f t="shared" si="59"/>
        <v>79000</v>
      </c>
      <c r="K138" s="342">
        <f t="shared" si="59"/>
        <v>0</v>
      </c>
      <c r="L138" s="342">
        <f t="shared" si="59"/>
        <v>0</v>
      </c>
      <c r="M138" s="342">
        <f t="shared" si="59"/>
        <v>0</v>
      </c>
      <c r="N138" s="342">
        <f t="shared" si="59"/>
        <v>0</v>
      </c>
      <c r="O138" s="342">
        <f t="shared" si="59"/>
        <v>0</v>
      </c>
      <c r="P138" s="342">
        <f t="shared" si="59"/>
        <v>0</v>
      </c>
      <c r="Q138" s="342">
        <f t="shared" si="59"/>
        <v>0</v>
      </c>
      <c r="R138" s="342">
        <f t="shared" si="59"/>
        <v>0</v>
      </c>
      <c r="S138" s="342">
        <f t="shared" si="59"/>
        <v>50000</v>
      </c>
      <c r="T138" s="342">
        <f t="shared" si="59"/>
        <v>0</v>
      </c>
      <c r="U138" s="342">
        <f t="shared" si="59"/>
        <v>0</v>
      </c>
      <c r="V138" s="342">
        <f t="shared" si="59"/>
        <v>50000</v>
      </c>
    </row>
    <row r="139" spans="1:22" s="893" customFormat="1" ht="20.100000000000001" customHeight="1">
      <c r="A139" s="843">
        <v>1</v>
      </c>
      <c r="B139" s="903" t="s">
        <v>268</v>
      </c>
      <c r="C139" s="901"/>
      <c r="D139" s="902"/>
      <c r="E139" s="902"/>
      <c r="F139" s="844"/>
      <c r="G139" s="342">
        <f>SUBTOTAL(9,G140:G140)</f>
        <v>205000</v>
      </c>
      <c r="H139" s="342">
        <f t="shared" ref="H139:V139" si="60">SUBTOTAL(9,H140:H140)</f>
        <v>0</v>
      </c>
      <c r="I139" s="342">
        <f t="shared" si="60"/>
        <v>0</v>
      </c>
      <c r="J139" s="342">
        <f t="shared" si="60"/>
        <v>79000</v>
      </c>
      <c r="K139" s="342">
        <f t="shared" si="60"/>
        <v>0</v>
      </c>
      <c r="L139" s="342">
        <f t="shared" si="60"/>
        <v>0</v>
      </c>
      <c r="M139" s="342">
        <f t="shared" si="60"/>
        <v>0</v>
      </c>
      <c r="N139" s="342">
        <f t="shared" si="60"/>
        <v>0</v>
      </c>
      <c r="O139" s="342">
        <f t="shared" si="60"/>
        <v>0</v>
      </c>
      <c r="P139" s="342">
        <f t="shared" si="60"/>
        <v>0</v>
      </c>
      <c r="Q139" s="342">
        <f t="shared" si="60"/>
        <v>0</v>
      </c>
      <c r="R139" s="342">
        <f t="shared" si="60"/>
        <v>0</v>
      </c>
      <c r="S139" s="342">
        <f t="shared" si="60"/>
        <v>50000</v>
      </c>
      <c r="T139" s="342">
        <f t="shared" si="60"/>
        <v>0</v>
      </c>
      <c r="U139" s="342">
        <f t="shared" si="60"/>
        <v>0</v>
      </c>
      <c r="V139" s="342">
        <f t="shared" si="60"/>
        <v>50000</v>
      </c>
    </row>
    <row r="140" spans="1:22" s="888" customFormat="1" ht="50.45" customHeight="1">
      <c r="A140" s="923" t="s">
        <v>19</v>
      </c>
      <c r="B140" s="886" t="s">
        <v>911</v>
      </c>
      <c r="C140" s="898">
        <v>7898792</v>
      </c>
      <c r="D140" s="887" t="s">
        <v>915</v>
      </c>
      <c r="E140" s="887"/>
      <c r="F140" s="887" t="s">
        <v>914</v>
      </c>
      <c r="G140" s="852">
        <v>205000</v>
      </c>
      <c r="H140" s="852"/>
      <c r="I140" s="852"/>
      <c r="J140" s="852">
        <v>79000</v>
      </c>
      <c r="K140" s="852">
        <f>SUM(L140:N140)</f>
        <v>0</v>
      </c>
      <c r="L140" s="852"/>
      <c r="M140" s="852"/>
      <c r="N140" s="852">
        <v>0</v>
      </c>
      <c r="O140" s="852">
        <f>SUM(P140:R140)</f>
        <v>0</v>
      </c>
      <c r="P140" s="852"/>
      <c r="Q140" s="852"/>
      <c r="R140" s="852">
        <v>0</v>
      </c>
      <c r="S140" s="852">
        <f>SUM(T140:V140)</f>
        <v>50000</v>
      </c>
      <c r="T140" s="853" t="s">
        <v>848</v>
      </c>
      <c r="U140" s="853" t="s">
        <v>848</v>
      </c>
      <c r="V140" s="853">
        <v>50000</v>
      </c>
    </row>
    <row r="141" spans="1:22" s="888" customFormat="1">
      <c r="A141" s="843" t="s">
        <v>969</v>
      </c>
      <c r="B141" s="845" t="s">
        <v>970</v>
      </c>
      <c r="C141" s="887"/>
      <c r="D141" s="850"/>
      <c r="E141" s="924"/>
      <c r="F141" s="851"/>
      <c r="G141" s="342">
        <f>SUBTOTAL(9,G142:G143)</f>
        <v>274325.71299999999</v>
      </c>
      <c r="H141" s="342">
        <f t="shared" ref="H141:V141" si="61">SUBTOTAL(9,H142:H143)</f>
        <v>0</v>
      </c>
      <c r="I141" s="342">
        <f t="shared" si="61"/>
        <v>0</v>
      </c>
      <c r="J141" s="342">
        <f t="shared" si="61"/>
        <v>274325.71299999999</v>
      </c>
      <c r="K141" s="342">
        <f t="shared" si="61"/>
        <v>70998</v>
      </c>
      <c r="L141" s="342">
        <f t="shared" si="61"/>
        <v>0</v>
      </c>
      <c r="M141" s="342">
        <f t="shared" si="61"/>
        <v>0</v>
      </c>
      <c r="N141" s="342">
        <f t="shared" si="61"/>
        <v>70998</v>
      </c>
      <c r="O141" s="342">
        <f t="shared" si="61"/>
        <v>70998</v>
      </c>
      <c r="P141" s="342">
        <f t="shared" si="61"/>
        <v>0</v>
      </c>
      <c r="Q141" s="342">
        <f t="shared" si="61"/>
        <v>0</v>
      </c>
      <c r="R141" s="342">
        <f t="shared" si="61"/>
        <v>70998</v>
      </c>
      <c r="S141" s="342">
        <f t="shared" si="61"/>
        <v>32000</v>
      </c>
      <c r="T141" s="342">
        <f t="shared" si="61"/>
        <v>0</v>
      </c>
      <c r="U141" s="342">
        <f t="shared" si="61"/>
        <v>0</v>
      </c>
      <c r="V141" s="342">
        <f t="shared" si="61"/>
        <v>32000</v>
      </c>
    </row>
    <row r="142" spans="1:22" s="893" customFormat="1">
      <c r="A142" s="843">
        <v>1</v>
      </c>
      <c r="B142" s="903" t="s">
        <v>124</v>
      </c>
      <c r="C142" s="857"/>
      <c r="D142" s="905"/>
      <c r="E142" s="925"/>
      <c r="F142" s="844"/>
      <c r="G142" s="342">
        <f>SUBTOTAL(9,G143:G143)</f>
        <v>274325.71299999999</v>
      </c>
      <c r="H142" s="342">
        <f t="shared" ref="H142:V142" si="62">SUBTOTAL(9,H143:H143)</f>
        <v>0</v>
      </c>
      <c r="I142" s="342">
        <f t="shared" si="62"/>
        <v>0</v>
      </c>
      <c r="J142" s="342">
        <f t="shared" si="62"/>
        <v>274325.71299999999</v>
      </c>
      <c r="K142" s="342">
        <f t="shared" si="62"/>
        <v>70998</v>
      </c>
      <c r="L142" s="342">
        <f t="shared" si="62"/>
        <v>0</v>
      </c>
      <c r="M142" s="342">
        <f t="shared" si="62"/>
        <v>0</v>
      </c>
      <c r="N142" s="342">
        <f t="shared" si="62"/>
        <v>70998</v>
      </c>
      <c r="O142" s="342">
        <f t="shared" si="62"/>
        <v>70998</v>
      </c>
      <c r="P142" s="342">
        <f t="shared" si="62"/>
        <v>0</v>
      </c>
      <c r="Q142" s="342">
        <f t="shared" si="62"/>
        <v>0</v>
      </c>
      <c r="R142" s="342">
        <f t="shared" si="62"/>
        <v>70998</v>
      </c>
      <c r="S142" s="342">
        <f t="shared" si="62"/>
        <v>32000</v>
      </c>
      <c r="T142" s="342">
        <f t="shared" si="62"/>
        <v>0</v>
      </c>
      <c r="U142" s="342">
        <f t="shared" si="62"/>
        <v>0</v>
      </c>
      <c r="V142" s="342">
        <f t="shared" si="62"/>
        <v>32000</v>
      </c>
    </row>
    <row r="143" spans="1:22" s="888" customFormat="1" ht="44.45" customHeight="1">
      <c r="A143" s="923" t="s">
        <v>19</v>
      </c>
      <c r="B143" s="886" t="s">
        <v>971</v>
      </c>
      <c r="C143" s="926">
        <v>7925428</v>
      </c>
      <c r="D143" s="887" t="s">
        <v>912</v>
      </c>
      <c r="E143" s="887" t="s">
        <v>972</v>
      </c>
      <c r="F143" s="887" t="s">
        <v>973</v>
      </c>
      <c r="G143" s="852">
        <f>SUM(H143:J143)</f>
        <v>274325.71299999999</v>
      </c>
      <c r="H143" s="852"/>
      <c r="I143" s="852"/>
      <c r="J143" s="852">
        <v>274325.71299999999</v>
      </c>
      <c r="K143" s="852">
        <f>SUM(L143:N143)</f>
        <v>70998</v>
      </c>
      <c r="L143" s="852"/>
      <c r="M143" s="852"/>
      <c r="N143" s="852">
        <v>70998</v>
      </c>
      <c r="O143" s="852">
        <f>SUM(P143:R143)</f>
        <v>70998</v>
      </c>
      <c r="P143" s="852"/>
      <c r="Q143" s="852"/>
      <c r="R143" s="852">
        <v>70998</v>
      </c>
      <c r="S143" s="852">
        <f>SUM(T143:V143)</f>
        <v>32000</v>
      </c>
      <c r="T143" s="853" t="s">
        <v>848</v>
      </c>
      <c r="U143" s="853" t="s">
        <v>848</v>
      </c>
      <c r="V143" s="853">
        <v>32000</v>
      </c>
    </row>
    <row r="144" spans="1:22" s="893" customFormat="1" ht="30.75" customHeight="1">
      <c r="A144" s="927" t="s">
        <v>974</v>
      </c>
      <c r="B144" s="928" t="s">
        <v>975</v>
      </c>
      <c r="C144" s="927"/>
      <c r="D144" s="927"/>
      <c r="E144" s="927"/>
      <c r="F144" s="887"/>
      <c r="G144" s="906">
        <f t="shared" ref="G144:V144" si="63">SUBTOTAL(9,G145:G146)</f>
        <v>0</v>
      </c>
      <c r="H144" s="906">
        <f t="shared" si="63"/>
        <v>0</v>
      </c>
      <c r="I144" s="906">
        <f t="shared" si="63"/>
        <v>0</v>
      </c>
      <c r="J144" s="906">
        <f t="shared" si="63"/>
        <v>0</v>
      </c>
      <c r="K144" s="906">
        <f t="shared" si="63"/>
        <v>0</v>
      </c>
      <c r="L144" s="906">
        <f t="shared" si="63"/>
        <v>0</v>
      </c>
      <c r="M144" s="906">
        <f t="shared" si="63"/>
        <v>0</v>
      </c>
      <c r="N144" s="906">
        <f t="shared" si="63"/>
        <v>0</v>
      </c>
      <c r="O144" s="906">
        <f t="shared" si="63"/>
        <v>0</v>
      </c>
      <c r="P144" s="906">
        <f t="shared" si="63"/>
        <v>0</v>
      </c>
      <c r="Q144" s="906">
        <f t="shared" si="63"/>
        <v>0</v>
      </c>
      <c r="R144" s="906">
        <f t="shared" si="63"/>
        <v>0</v>
      </c>
      <c r="S144" s="906">
        <f t="shared" si="63"/>
        <v>1452887</v>
      </c>
      <c r="T144" s="906">
        <f t="shared" si="63"/>
        <v>6318</v>
      </c>
      <c r="U144" s="906">
        <f t="shared" si="63"/>
        <v>1446569</v>
      </c>
      <c r="V144" s="906">
        <f t="shared" si="63"/>
        <v>0</v>
      </c>
    </row>
    <row r="145" spans="1:22" s="893" customFormat="1" ht="30.75" customHeight="1">
      <c r="A145" s="927" t="s">
        <v>15</v>
      </c>
      <c r="B145" s="928" t="s">
        <v>976</v>
      </c>
      <c r="C145" s="927"/>
      <c r="D145" s="927"/>
      <c r="E145" s="927"/>
      <c r="F145" s="887"/>
      <c r="G145" s="342"/>
      <c r="H145" s="342"/>
      <c r="I145" s="342"/>
      <c r="J145" s="342"/>
      <c r="K145" s="342"/>
      <c r="L145" s="342"/>
      <c r="M145" s="342"/>
      <c r="N145" s="342"/>
      <c r="O145" s="342"/>
      <c r="P145" s="342"/>
      <c r="Q145" s="342"/>
      <c r="R145" s="342"/>
      <c r="S145" s="906">
        <f>SUM(T145:V145)</f>
        <v>824064</v>
      </c>
      <c r="T145" s="342"/>
      <c r="U145" s="342">
        <v>824064</v>
      </c>
      <c r="V145" s="342"/>
    </row>
    <row r="146" spans="1:22" s="893" customFormat="1" ht="30.75" customHeight="1">
      <c r="A146" s="927" t="s">
        <v>25</v>
      </c>
      <c r="B146" s="928" t="s">
        <v>977</v>
      </c>
      <c r="C146" s="927"/>
      <c r="D146" s="927"/>
      <c r="E146" s="927"/>
      <c r="F146" s="887"/>
      <c r="G146" s="342"/>
      <c r="H146" s="342"/>
      <c r="I146" s="342"/>
      <c r="J146" s="342"/>
      <c r="K146" s="342"/>
      <c r="L146" s="342"/>
      <c r="M146" s="342"/>
      <c r="N146" s="342"/>
      <c r="O146" s="342"/>
      <c r="P146" s="342"/>
      <c r="Q146" s="342"/>
      <c r="R146" s="342"/>
      <c r="S146" s="906">
        <f>SUM(T146:V146)</f>
        <v>628823</v>
      </c>
      <c r="T146" s="342">
        <v>6318</v>
      </c>
      <c r="U146" s="342">
        <v>622505</v>
      </c>
      <c r="V146" s="342"/>
    </row>
    <row r="147" spans="1:22" s="893" customFormat="1" ht="26.45" customHeight="1">
      <c r="A147" s="843" t="s">
        <v>978</v>
      </c>
      <c r="B147" s="929" t="s">
        <v>979</v>
      </c>
      <c r="C147" s="842"/>
      <c r="D147" s="843"/>
      <c r="E147" s="844"/>
      <c r="F147" s="844"/>
      <c r="G147" s="930"/>
      <c r="H147" s="930"/>
      <c r="I147" s="930"/>
      <c r="J147" s="930"/>
      <c r="K147" s="930"/>
      <c r="L147" s="930"/>
      <c r="M147" s="930"/>
      <c r="N147" s="930"/>
      <c r="O147" s="930"/>
      <c r="P147" s="930"/>
      <c r="Q147" s="930"/>
      <c r="R147" s="930"/>
      <c r="S147" s="906">
        <f>SUM(T147:V147)</f>
        <v>7400</v>
      </c>
      <c r="T147" s="342">
        <v>7400</v>
      </c>
      <c r="U147" s="342">
        <v>0</v>
      </c>
      <c r="V147" s="342">
        <v>0</v>
      </c>
    </row>
    <row r="148" spans="1:22" s="888" customFormat="1">
      <c r="A148" s="931"/>
      <c r="B148" s="932"/>
      <c r="C148" s="933"/>
      <c r="D148" s="931"/>
      <c r="E148" s="932"/>
      <c r="F148" s="932"/>
      <c r="G148" s="934"/>
      <c r="H148" s="934"/>
      <c r="I148" s="934"/>
      <c r="J148" s="934"/>
      <c r="K148" s="934"/>
      <c r="L148" s="934"/>
      <c r="M148" s="934"/>
      <c r="N148" s="934"/>
      <c r="O148" s="934"/>
      <c r="P148" s="934"/>
      <c r="Q148" s="934"/>
      <c r="R148" s="934"/>
      <c r="S148" s="934"/>
      <c r="T148" s="934"/>
      <c r="U148" s="934"/>
      <c r="V148" s="934"/>
    </row>
    <row r="149" spans="1:22" s="888" customFormat="1">
      <c r="D149" s="935"/>
      <c r="E149" s="936"/>
      <c r="F149" s="936"/>
    </row>
    <row r="150" spans="1:22" s="888" customFormat="1">
      <c r="D150" s="935"/>
      <c r="E150" s="936"/>
      <c r="F150" s="936"/>
    </row>
  </sheetData>
  <autoFilter ref="A11:AM147"/>
  <mergeCells count="35">
    <mergeCell ref="G6:J6"/>
    <mergeCell ref="G7:G10"/>
    <mergeCell ref="L7:N7"/>
    <mergeCell ref="O7:O10"/>
    <mergeCell ref="H8:H10"/>
    <mergeCell ref="I8:I10"/>
    <mergeCell ref="J8:J10"/>
    <mergeCell ref="L8:L10"/>
    <mergeCell ref="M8:M10"/>
    <mergeCell ref="N8:N10"/>
    <mergeCell ref="S1:U1"/>
    <mergeCell ref="A2:V2"/>
    <mergeCell ref="A3:V3"/>
    <mergeCell ref="R4:T4"/>
    <mergeCell ref="A5:A10"/>
    <mergeCell ref="B5:B10"/>
    <mergeCell ref="C5:C10"/>
    <mergeCell ref="D5:D10"/>
    <mergeCell ref="E5:E10"/>
    <mergeCell ref="F5:J5"/>
    <mergeCell ref="K5:N6"/>
    <mergeCell ref="O5:R6"/>
    <mergeCell ref="S5:V6"/>
    <mergeCell ref="S7:S10"/>
    <mergeCell ref="T7:V7"/>
    <mergeCell ref="F6:F10"/>
    <mergeCell ref="V8:V10"/>
    <mergeCell ref="H7:J7"/>
    <mergeCell ref="K7:K10"/>
    <mergeCell ref="P8:P10"/>
    <mergeCell ref="Q8:Q10"/>
    <mergeCell ref="R8:R10"/>
    <mergeCell ref="T8:T10"/>
    <mergeCell ref="U8:U10"/>
    <mergeCell ref="P7:R7"/>
  </mergeCells>
  <printOptions horizontalCentered="1"/>
  <pageMargins left="0.19685039370078741" right="0.19685039370078741" top="0.62992125984251968" bottom="0.43307086614173229" header="0.35433070866141736" footer="0.23622047244094491"/>
  <pageSetup paperSize="9" scale="60" fitToHeight="0" orientation="landscape" r:id="rId1"/>
  <headerFooter>
    <oddFooter>&amp;R&amp;P/&amp;N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43"/>
  <sheetViews>
    <sheetView zoomScaleNormal="100" workbookViewId="0">
      <selection activeCell="O20" sqref="O20"/>
    </sheetView>
  </sheetViews>
  <sheetFormatPr defaultRowHeight="15.75" outlineLevelRow="1"/>
  <cols>
    <col min="1" max="1" width="6.5703125" style="446" customWidth="1"/>
    <col min="2" max="2" width="56" style="446" customWidth="1"/>
    <col min="3" max="3" width="14.28515625" style="446" customWidth="1"/>
    <col min="4" max="4" width="13.85546875" style="446" customWidth="1"/>
    <col min="5" max="5" width="14.140625" style="446" customWidth="1"/>
    <col min="6" max="256" width="9.140625" style="446"/>
    <col min="257" max="257" width="6.5703125" style="446" customWidth="1"/>
    <col min="258" max="258" width="56" style="446" customWidth="1"/>
    <col min="259" max="259" width="14.28515625" style="446" customWidth="1"/>
    <col min="260" max="260" width="13.85546875" style="446" customWidth="1"/>
    <col min="261" max="261" width="14.140625" style="446" customWidth="1"/>
    <col min="262" max="512" width="9.140625" style="446"/>
    <col min="513" max="513" width="6.5703125" style="446" customWidth="1"/>
    <col min="514" max="514" width="56" style="446" customWidth="1"/>
    <col min="515" max="515" width="14.28515625" style="446" customWidth="1"/>
    <col min="516" max="516" width="13.85546875" style="446" customWidth="1"/>
    <col min="517" max="517" width="14.140625" style="446" customWidth="1"/>
    <col min="518" max="768" width="9.140625" style="446"/>
    <col min="769" max="769" width="6.5703125" style="446" customWidth="1"/>
    <col min="770" max="770" width="56" style="446" customWidth="1"/>
    <col min="771" max="771" width="14.28515625" style="446" customWidth="1"/>
    <col min="772" max="772" width="13.85546875" style="446" customWidth="1"/>
    <col min="773" max="773" width="14.140625" style="446" customWidth="1"/>
    <col min="774" max="1024" width="9.140625" style="446"/>
    <col min="1025" max="1025" width="6.5703125" style="446" customWidth="1"/>
    <col min="1026" max="1026" width="56" style="446" customWidth="1"/>
    <col min="1027" max="1027" width="14.28515625" style="446" customWidth="1"/>
    <col min="1028" max="1028" width="13.85546875" style="446" customWidth="1"/>
    <col min="1029" max="1029" width="14.140625" style="446" customWidth="1"/>
    <col min="1030" max="1280" width="9.140625" style="446"/>
    <col min="1281" max="1281" width="6.5703125" style="446" customWidth="1"/>
    <col min="1282" max="1282" width="56" style="446" customWidth="1"/>
    <col min="1283" max="1283" width="14.28515625" style="446" customWidth="1"/>
    <col min="1284" max="1284" width="13.85546875" style="446" customWidth="1"/>
    <col min="1285" max="1285" width="14.140625" style="446" customWidth="1"/>
    <col min="1286" max="1536" width="9.140625" style="446"/>
    <col min="1537" max="1537" width="6.5703125" style="446" customWidth="1"/>
    <col min="1538" max="1538" width="56" style="446" customWidth="1"/>
    <col min="1539" max="1539" width="14.28515625" style="446" customWidth="1"/>
    <col min="1540" max="1540" width="13.85546875" style="446" customWidth="1"/>
    <col min="1541" max="1541" width="14.140625" style="446" customWidth="1"/>
    <col min="1542" max="1792" width="9.140625" style="446"/>
    <col min="1793" max="1793" width="6.5703125" style="446" customWidth="1"/>
    <col min="1794" max="1794" width="56" style="446" customWidth="1"/>
    <col min="1795" max="1795" width="14.28515625" style="446" customWidth="1"/>
    <col min="1796" max="1796" width="13.85546875" style="446" customWidth="1"/>
    <col min="1797" max="1797" width="14.140625" style="446" customWidth="1"/>
    <col min="1798" max="2048" width="9.140625" style="446"/>
    <col min="2049" max="2049" width="6.5703125" style="446" customWidth="1"/>
    <col min="2050" max="2050" width="56" style="446" customWidth="1"/>
    <col min="2051" max="2051" width="14.28515625" style="446" customWidth="1"/>
    <col min="2052" max="2052" width="13.85546875" style="446" customWidth="1"/>
    <col min="2053" max="2053" width="14.140625" style="446" customWidth="1"/>
    <col min="2054" max="2304" width="9.140625" style="446"/>
    <col min="2305" max="2305" width="6.5703125" style="446" customWidth="1"/>
    <col min="2306" max="2306" width="56" style="446" customWidth="1"/>
    <col min="2307" max="2307" width="14.28515625" style="446" customWidth="1"/>
    <col min="2308" max="2308" width="13.85546875" style="446" customWidth="1"/>
    <col min="2309" max="2309" width="14.140625" style="446" customWidth="1"/>
    <col min="2310" max="2560" width="9.140625" style="446"/>
    <col min="2561" max="2561" width="6.5703125" style="446" customWidth="1"/>
    <col min="2562" max="2562" width="56" style="446" customWidth="1"/>
    <col min="2563" max="2563" width="14.28515625" style="446" customWidth="1"/>
    <col min="2564" max="2564" width="13.85546875" style="446" customWidth="1"/>
    <col min="2565" max="2565" width="14.140625" style="446" customWidth="1"/>
    <col min="2566" max="2816" width="9.140625" style="446"/>
    <col min="2817" max="2817" width="6.5703125" style="446" customWidth="1"/>
    <col min="2818" max="2818" width="56" style="446" customWidth="1"/>
    <col min="2819" max="2819" width="14.28515625" style="446" customWidth="1"/>
    <col min="2820" max="2820" width="13.85546875" style="446" customWidth="1"/>
    <col min="2821" max="2821" width="14.140625" style="446" customWidth="1"/>
    <col min="2822" max="3072" width="9.140625" style="446"/>
    <col min="3073" max="3073" width="6.5703125" style="446" customWidth="1"/>
    <col min="3074" max="3074" width="56" style="446" customWidth="1"/>
    <col min="3075" max="3075" width="14.28515625" style="446" customWidth="1"/>
    <col min="3076" max="3076" width="13.85546875" style="446" customWidth="1"/>
    <col min="3077" max="3077" width="14.140625" style="446" customWidth="1"/>
    <col min="3078" max="3328" width="9.140625" style="446"/>
    <col min="3329" max="3329" width="6.5703125" style="446" customWidth="1"/>
    <col min="3330" max="3330" width="56" style="446" customWidth="1"/>
    <col min="3331" max="3331" width="14.28515625" style="446" customWidth="1"/>
    <col min="3332" max="3332" width="13.85546875" style="446" customWidth="1"/>
    <col min="3333" max="3333" width="14.140625" style="446" customWidth="1"/>
    <col min="3334" max="3584" width="9.140625" style="446"/>
    <col min="3585" max="3585" width="6.5703125" style="446" customWidth="1"/>
    <col min="3586" max="3586" width="56" style="446" customWidth="1"/>
    <col min="3587" max="3587" width="14.28515625" style="446" customWidth="1"/>
    <col min="3588" max="3588" width="13.85546875" style="446" customWidth="1"/>
    <col min="3589" max="3589" width="14.140625" style="446" customWidth="1"/>
    <col min="3590" max="3840" width="9.140625" style="446"/>
    <col min="3841" max="3841" width="6.5703125" style="446" customWidth="1"/>
    <col min="3842" max="3842" width="56" style="446" customWidth="1"/>
    <col min="3843" max="3843" width="14.28515625" style="446" customWidth="1"/>
    <col min="3844" max="3844" width="13.85546875" style="446" customWidth="1"/>
    <col min="3845" max="3845" width="14.140625" style="446" customWidth="1"/>
    <col min="3846" max="4096" width="9.140625" style="446"/>
    <col min="4097" max="4097" width="6.5703125" style="446" customWidth="1"/>
    <col min="4098" max="4098" width="56" style="446" customWidth="1"/>
    <col min="4099" max="4099" width="14.28515625" style="446" customWidth="1"/>
    <col min="4100" max="4100" width="13.85546875" style="446" customWidth="1"/>
    <col min="4101" max="4101" width="14.140625" style="446" customWidth="1"/>
    <col min="4102" max="4352" width="9.140625" style="446"/>
    <col min="4353" max="4353" width="6.5703125" style="446" customWidth="1"/>
    <col min="4354" max="4354" width="56" style="446" customWidth="1"/>
    <col min="4355" max="4355" width="14.28515625" style="446" customWidth="1"/>
    <col min="4356" max="4356" width="13.85546875" style="446" customWidth="1"/>
    <col min="4357" max="4357" width="14.140625" style="446" customWidth="1"/>
    <col min="4358" max="4608" width="9.140625" style="446"/>
    <col min="4609" max="4609" width="6.5703125" style="446" customWidth="1"/>
    <col min="4610" max="4610" width="56" style="446" customWidth="1"/>
    <col min="4611" max="4611" width="14.28515625" style="446" customWidth="1"/>
    <col min="4612" max="4612" width="13.85546875" style="446" customWidth="1"/>
    <col min="4613" max="4613" width="14.140625" style="446" customWidth="1"/>
    <col min="4614" max="4864" width="9.140625" style="446"/>
    <col min="4865" max="4865" width="6.5703125" style="446" customWidth="1"/>
    <col min="4866" max="4866" width="56" style="446" customWidth="1"/>
    <col min="4867" max="4867" width="14.28515625" style="446" customWidth="1"/>
    <col min="4868" max="4868" width="13.85546875" style="446" customWidth="1"/>
    <col min="4869" max="4869" width="14.140625" style="446" customWidth="1"/>
    <col min="4870" max="5120" width="9.140625" style="446"/>
    <col min="5121" max="5121" width="6.5703125" style="446" customWidth="1"/>
    <col min="5122" max="5122" width="56" style="446" customWidth="1"/>
    <col min="5123" max="5123" width="14.28515625" style="446" customWidth="1"/>
    <col min="5124" max="5124" width="13.85546875" style="446" customWidth="1"/>
    <col min="5125" max="5125" width="14.140625" style="446" customWidth="1"/>
    <col min="5126" max="5376" width="9.140625" style="446"/>
    <col min="5377" max="5377" width="6.5703125" style="446" customWidth="1"/>
    <col min="5378" max="5378" width="56" style="446" customWidth="1"/>
    <col min="5379" max="5379" width="14.28515625" style="446" customWidth="1"/>
    <col min="5380" max="5380" width="13.85546875" style="446" customWidth="1"/>
    <col min="5381" max="5381" width="14.140625" style="446" customWidth="1"/>
    <col min="5382" max="5632" width="9.140625" style="446"/>
    <col min="5633" max="5633" width="6.5703125" style="446" customWidth="1"/>
    <col min="5634" max="5634" width="56" style="446" customWidth="1"/>
    <col min="5635" max="5635" width="14.28515625" style="446" customWidth="1"/>
    <col min="5636" max="5636" width="13.85546875" style="446" customWidth="1"/>
    <col min="5637" max="5637" width="14.140625" style="446" customWidth="1"/>
    <col min="5638" max="5888" width="9.140625" style="446"/>
    <col min="5889" max="5889" width="6.5703125" style="446" customWidth="1"/>
    <col min="5890" max="5890" width="56" style="446" customWidth="1"/>
    <col min="5891" max="5891" width="14.28515625" style="446" customWidth="1"/>
    <col min="5892" max="5892" width="13.85546875" style="446" customWidth="1"/>
    <col min="5893" max="5893" width="14.140625" style="446" customWidth="1"/>
    <col min="5894" max="6144" width="9.140625" style="446"/>
    <col min="6145" max="6145" width="6.5703125" style="446" customWidth="1"/>
    <col min="6146" max="6146" width="56" style="446" customWidth="1"/>
    <col min="6147" max="6147" width="14.28515625" style="446" customWidth="1"/>
    <col min="6148" max="6148" width="13.85546875" style="446" customWidth="1"/>
    <col min="6149" max="6149" width="14.140625" style="446" customWidth="1"/>
    <col min="6150" max="6400" width="9.140625" style="446"/>
    <col min="6401" max="6401" width="6.5703125" style="446" customWidth="1"/>
    <col min="6402" max="6402" width="56" style="446" customWidth="1"/>
    <col min="6403" max="6403" width="14.28515625" style="446" customWidth="1"/>
    <col min="6404" max="6404" width="13.85546875" style="446" customWidth="1"/>
    <col min="6405" max="6405" width="14.140625" style="446" customWidth="1"/>
    <col min="6406" max="6656" width="9.140625" style="446"/>
    <col min="6657" max="6657" width="6.5703125" style="446" customWidth="1"/>
    <col min="6658" max="6658" width="56" style="446" customWidth="1"/>
    <col min="6659" max="6659" width="14.28515625" style="446" customWidth="1"/>
    <col min="6660" max="6660" width="13.85546875" style="446" customWidth="1"/>
    <col min="6661" max="6661" width="14.140625" style="446" customWidth="1"/>
    <col min="6662" max="6912" width="9.140625" style="446"/>
    <col min="6913" max="6913" width="6.5703125" style="446" customWidth="1"/>
    <col min="6914" max="6914" width="56" style="446" customWidth="1"/>
    <col min="6915" max="6915" width="14.28515625" style="446" customWidth="1"/>
    <col min="6916" max="6916" width="13.85546875" style="446" customWidth="1"/>
    <col min="6917" max="6917" width="14.140625" style="446" customWidth="1"/>
    <col min="6918" max="7168" width="9.140625" style="446"/>
    <col min="7169" max="7169" width="6.5703125" style="446" customWidth="1"/>
    <col min="7170" max="7170" width="56" style="446" customWidth="1"/>
    <col min="7171" max="7171" width="14.28515625" style="446" customWidth="1"/>
    <col min="7172" max="7172" width="13.85546875" style="446" customWidth="1"/>
    <col min="7173" max="7173" width="14.140625" style="446" customWidth="1"/>
    <col min="7174" max="7424" width="9.140625" style="446"/>
    <col min="7425" max="7425" width="6.5703125" style="446" customWidth="1"/>
    <col min="7426" max="7426" width="56" style="446" customWidth="1"/>
    <col min="7427" max="7427" width="14.28515625" style="446" customWidth="1"/>
    <col min="7428" max="7428" width="13.85546875" style="446" customWidth="1"/>
    <col min="7429" max="7429" width="14.140625" style="446" customWidth="1"/>
    <col min="7430" max="7680" width="9.140625" style="446"/>
    <col min="7681" max="7681" width="6.5703125" style="446" customWidth="1"/>
    <col min="7682" max="7682" width="56" style="446" customWidth="1"/>
    <col min="7683" max="7683" width="14.28515625" style="446" customWidth="1"/>
    <col min="7684" max="7684" width="13.85546875" style="446" customWidth="1"/>
    <col min="7685" max="7685" width="14.140625" style="446" customWidth="1"/>
    <col min="7686" max="7936" width="9.140625" style="446"/>
    <col min="7937" max="7937" width="6.5703125" style="446" customWidth="1"/>
    <col min="7938" max="7938" width="56" style="446" customWidth="1"/>
    <col min="7939" max="7939" width="14.28515625" style="446" customWidth="1"/>
    <col min="7940" max="7940" width="13.85546875" style="446" customWidth="1"/>
    <col min="7941" max="7941" width="14.140625" style="446" customWidth="1"/>
    <col min="7942" max="8192" width="9.140625" style="446"/>
    <col min="8193" max="8193" width="6.5703125" style="446" customWidth="1"/>
    <col min="8194" max="8194" width="56" style="446" customWidth="1"/>
    <col min="8195" max="8195" width="14.28515625" style="446" customWidth="1"/>
    <col min="8196" max="8196" width="13.85546875" style="446" customWidth="1"/>
    <col min="8197" max="8197" width="14.140625" style="446" customWidth="1"/>
    <col min="8198" max="8448" width="9.140625" style="446"/>
    <col min="8449" max="8449" width="6.5703125" style="446" customWidth="1"/>
    <col min="8450" max="8450" width="56" style="446" customWidth="1"/>
    <col min="8451" max="8451" width="14.28515625" style="446" customWidth="1"/>
    <col min="8452" max="8452" width="13.85546875" style="446" customWidth="1"/>
    <col min="8453" max="8453" width="14.140625" style="446" customWidth="1"/>
    <col min="8454" max="8704" width="9.140625" style="446"/>
    <col min="8705" max="8705" width="6.5703125" style="446" customWidth="1"/>
    <col min="8706" max="8706" width="56" style="446" customWidth="1"/>
    <col min="8707" max="8707" width="14.28515625" style="446" customWidth="1"/>
    <col min="8708" max="8708" width="13.85546875" style="446" customWidth="1"/>
    <col min="8709" max="8709" width="14.140625" style="446" customWidth="1"/>
    <col min="8710" max="8960" width="9.140625" style="446"/>
    <col min="8961" max="8961" width="6.5703125" style="446" customWidth="1"/>
    <col min="8962" max="8962" width="56" style="446" customWidth="1"/>
    <col min="8963" max="8963" width="14.28515625" style="446" customWidth="1"/>
    <col min="8964" max="8964" width="13.85546875" style="446" customWidth="1"/>
    <col min="8965" max="8965" width="14.140625" style="446" customWidth="1"/>
    <col min="8966" max="9216" width="9.140625" style="446"/>
    <col min="9217" max="9217" width="6.5703125" style="446" customWidth="1"/>
    <col min="9218" max="9218" width="56" style="446" customWidth="1"/>
    <col min="9219" max="9219" width="14.28515625" style="446" customWidth="1"/>
    <col min="9220" max="9220" width="13.85546875" style="446" customWidth="1"/>
    <col min="9221" max="9221" width="14.140625" style="446" customWidth="1"/>
    <col min="9222" max="9472" width="9.140625" style="446"/>
    <col min="9473" max="9473" width="6.5703125" style="446" customWidth="1"/>
    <col min="9474" max="9474" width="56" style="446" customWidth="1"/>
    <col min="9475" max="9475" width="14.28515625" style="446" customWidth="1"/>
    <col min="9476" max="9476" width="13.85546875" style="446" customWidth="1"/>
    <col min="9477" max="9477" width="14.140625" style="446" customWidth="1"/>
    <col min="9478" max="9728" width="9.140625" style="446"/>
    <col min="9729" max="9729" width="6.5703125" style="446" customWidth="1"/>
    <col min="9730" max="9730" width="56" style="446" customWidth="1"/>
    <col min="9731" max="9731" width="14.28515625" style="446" customWidth="1"/>
    <col min="9732" max="9732" width="13.85546875" style="446" customWidth="1"/>
    <col min="9733" max="9733" width="14.140625" style="446" customWidth="1"/>
    <col min="9734" max="9984" width="9.140625" style="446"/>
    <col min="9985" max="9985" width="6.5703125" style="446" customWidth="1"/>
    <col min="9986" max="9986" width="56" style="446" customWidth="1"/>
    <col min="9987" max="9987" width="14.28515625" style="446" customWidth="1"/>
    <col min="9988" max="9988" width="13.85546875" style="446" customWidth="1"/>
    <col min="9989" max="9989" width="14.140625" style="446" customWidth="1"/>
    <col min="9990" max="10240" width="9.140625" style="446"/>
    <col min="10241" max="10241" width="6.5703125" style="446" customWidth="1"/>
    <col min="10242" max="10242" width="56" style="446" customWidth="1"/>
    <col min="10243" max="10243" width="14.28515625" style="446" customWidth="1"/>
    <col min="10244" max="10244" width="13.85546875" style="446" customWidth="1"/>
    <col min="10245" max="10245" width="14.140625" style="446" customWidth="1"/>
    <col min="10246" max="10496" width="9.140625" style="446"/>
    <col min="10497" max="10497" width="6.5703125" style="446" customWidth="1"/>
    <col min="10498" max="10498" width="56" style="446" customWidth="1"/>
    <col min="10499" max="10499" width="14.28515625" style="446" customWidth="1"/>
    <col min="10500" max="10500" width="13.85546875" style="446" customWidth="1"/>
    <col min="10501" max="10501" width="14.140625" style="446" customWidth="1"/>
    <col min="10502" max="10752" width="9.140625" style="446"/>
    <col min="10753" max="10753" width="6.5703125" style="446" customWidth="1"/>
    <col min="10754" max="10754" width="56" style="446" customWidth="1"/>
    <col min="10755" max="10755" width="14.28515625" style="446" customWidth="1"/>
    <col min="10756" max="10756" width="13.85546875" style="446" customWidth="1"/>
    <col min="10757" max="10757" width="14.140625" style="446" customWidth="1"/>
    <col min="10758" max="11008" width="9.140625" style="446"/>
    <col min="11009" max="11009" width="6.5703125" style="446" customWidth="1"/>
    <col min="11010" max="11010" width="56" style="446" customWidth="1"/>
    <col min="11011" max="11011" width="14.28515625" style="446" customWidth="1"/>
    <col min="11012" max="11012" width="13.85546875" style="446" customWidth="1"/>
    <col min="11013" max="11013" width="14.140625" style="446" customWidth="1"/>
    <col min="11014" max="11264" width="9.140625" style="446"/>
    <col min="11265" max="11265" width="6.5703125" style="446" customWidth="1"/>
    <col min="11266" max="11266" width="56" style="446" customWidth="1"/>
    <col min="11267" max="11267" width="14.28515625" style="446" customWidth="1"/>
    <col min="11268" max="11268" width="13.85546875" style="446" customWidth="1"/>
    <col min="11269" max="11269" width="14.140625" style="446" customWidth="1"/>
    <col min="11270" max="11520" width="9.140625" style="446"/>
    <col min="11521" max="11521" width="6.5703125" style="446" customWidth="1"/>
    <col min="11522" max="11522" width="56" style="446" customWidth="1"/>
    <col min="11523" max="11523" width="14.28515625" style="446" customWidth="1"/>
    <col min="11524" max="11524" width="13.85546875" style="446" customWidth="1"/>
    <col min="11525" max="11525" width="14.140625" style="446" customWidth="1"/>
    <col min="11526" max="11776" width="9.140625" style="446"/>
    <col min="11777" max="11777" width="6.5703125" style="446" customWidth="1"/>
    <col min="11778" max="11778" width="56" style="446" customWidth="1"/>
    <col min="11779" max="11779" width="14.28515625" style="446" customWidth="1"/>
    <col min="11780" max="11780" width="13.85546875" style="446" customWidth="1"/>
    <col min="11781" max="11781" width="14.140625" style="446" customWidth="1"/>
    <col min="11782" max="12032" width="9.140625" style="446"/>
    <col min="12033" max="12033" width="6.5703125" style="446" customWidth="1"/>
    <col min="12034" max="12034" width="56" style="446" customWidth="1"/>
    <col min="12035" max="12035" width="14.28515625" style="446" customWidth="1"/>
    <col min="12036" max="12036" width="13.85546875" style="446" customWidth="1"/>
    <col min="12037" max="12037" width="14.140625" style="446" customWidth="1"/>
    <col min="12038" max="12288" width="9.140625" style="446"/>
    <col min="12289" max="12289" width="6.5703125" style="446" customWidth="1"/>
    <col min="12290" max="12290" width="56" style="446" customWidth="1"/>
    <col min="12291" max="12291" width="14.28515625" style="446" customWidth="1"/>
    <col min="12292" max="12292" width="13.85546875" style="446" customWidth="1"/>
    <col min="12293" max="12293" width="14.140625" style="446" customWidth="1"/>
    <col min="12294" max="12544" width="9.140625" style="446"/>
    <col min="12545" max="12545" width="6.5703125" style="446" customWidth="1"/>
    <col min="12546" max="12546" width="56" style="446" customWidth="1"/>
    <col min="12547" max="12547" width="14.28515625" style="446" customWidth="1"/>
    <col min="12548" max="12548" width="13.85546875" style="446" customWidth="1"/>
    <col min="12549" max="12549" width="14.140625" style="446" customWidth="1"/>
    <col min="12550" max="12800" width="9.140625" style="446"/>
    <col min="12801" max="12801" width="6.5703125" style="446" customWidth="1"/>
    <col min="12802" max="12802" width="56" style="446" customWidth="1"/>
    <col min="12803" max="12803" width="14.28515625" style="446" customWidth="1"/>
    <col min="12804" max="12804" width="13.85546875" style="446" customWidth="1"/>
    <col min="12805" max="12805" width="14.140625" style="446" customWidth="1"/>
    <col min="12806" max="13056" width="9.140625" style="446"/>
    <col min="13057" max="13057" width="6.5703125" style="446" customWidth="1"/>
    <col min="13058" max="13058" width="56" style="446" customWidth="1"/>
    <col min="13059" max="13059" width="14.28515625" style="446" customWidth="1"/>
    <col min="13060" max="13060" width="13.85546875" style="446" customWidth="1"/>
    <col min="13061" max="13061" width="14.140625" style="446" customWidth="1"/>
    <col min="13062" max="13312" width="9.140625" style="446"/>
    <col min="13313" max="13313" width="6.5703125" style="446" customWidth="1"/>
    <col min="13314" max="13314" width="56" style="446" customWidth="1"/>
    <col min="13315" max="13315" width="14.28515625" style="446" customWidth="1"/>
    <col min="13316" max="13316" width="13.85546875" style="446" customWidth="1"/>
    <col min="13317" max="13317" width="14.140625" style="446" customWidth="1"/>
    <col min="13318" max="13568" width="9.140625" style="446"/>
    <col min="13569" max="13569" width="6.5703125" style="446" customWidth="1"/>
    <col min="13570" max="13570" width="56" style="446" customWidth="1"/>
    <col min="13571" max="13571" width="14.28515625" style="446" customWidth="1"/>
    <col min="13572" max="13572" width="13.85546875" style="446" customWidth="1"/>
    <col min="13573" max="13573" width="14.140625" style="446" customWidth="1"/>
    <col min="13574" max="13824" width="9.140625" style="446"/>
    <col min="13825" max="13825" width="6.5703125" style="446" customWidth="1"/>
    <col min="13826" max="13826" width="56" style="446" customWidth="1"/>
    <col min="13827" max="13827" width="14.28515625" style="446" customWidth="1"/>
    <col min="13828" max="13828" width="13.85546875" style="446" customWidth="1"/>
    <col min="13829" max="13829" width="14.140625" style="446" customWidth="1"/>
    <col min="13830" max="14080" width="9.140625" style="446"/>
    <col min="14081" max="14081" width="6.5703125" style="446" customWidth="1"/>
    <col min="14082" max="14082" width="56" style="446" customWidth="1"/>
    <col min="14083" max="14083" width="14.28515625" style="446" customWidth="1"/>
    <col min="14084" max="14084" width="13.85546875" style="446" customWidth="1"/>
    <col min="14085" max="14085" width="14.140625" style="446" customWidth="1"/>
    <col min="14086" max="14336" width="9.140625" style="446"/>
    <col min="14337" max="14337" width="6.5703125" style="446" customWidth="1"/>
    <col min="14338" max="14338" width="56" style="446" customWidth="1"/>
    <col min="14339" max="14339" width="14.28515625" style="446" customWidth="1"/>
    <col min="14340" max="14340" width="13.85546875" style="446" customWidth="1"/>
    <col min="14341" max="14341" width="14.140625" style="446" customWidth="1"/>
    <col min="14342" max="14592" width="9.140625" style="446"/>
    <col min="14593" max="14593" width="6.5703125" style="446" customWidth="1"/>
    <col min="14594" max="14594" width="56" style="446" customWidth="1"/>
    <col min="14595" max="14595" width="14.28515625" style="446" customWidth="1"/>
    <col min="14596" max="14596" width="13.85546875" style="446" customWidth="1"/>
    <col min="14597" max="14597" width="14.140625" style="446" customWidth="1"/>
    <col min="14598" max="14848" width="9.140625" style="446"/>
    <col min="14849" max="14849" width="6.5703125" style="446" customWidth="1"/>
    <col min="14850" max="14850" width="56" style="446" customWidth="1"/>
    <col min="14851" max="14851" width="14.28515625" style="446" customWidth="1"/>
    <col min="14852" max="14852" width="13.85546875" style="446" customWidth="1"/>
    <col min="14853" max="14853" width="14.140625" style="446" customWidth="1"/>
    <col min="14854" max="15104" width="9.140625" style="446"/>
    <col min="15105" max="15105" width="6.5703125" style="446" customWidth="1"/>
    <col min="15106" max="15106" width="56" style="446" customWidth="1"/>
    <col min="15107" max="15107" width="14.28515625" style="446" customWidth="1"/>
    <col min="15108" max="15108" width="13.85546875" style="446" customWidth="1"/>
    <col min="15109" max="15109" width="14.140625" style="446" customWidth="1"/>
    <col min="15110" max="15360" width="9.140625" style="446"/>
    <col min="15361" max="15361" width="6.5703125" style="446" customWidth="1"/>
    <col min="15362" max="15362" width="56" style="446" customWidth="1"/>
    <col min="15363" max="15363" width="14.28515625" style="446" customWidth="1"/>
    <col min="15364" max="15364" width="13.85546875" style="446" customWidth="1"/>
    <col min="15365" max="15365" width="14.140625" style="446" customWidth="1"/>
    <col min="15366" max="15616" width="9.140625" style="446"/>
    <col min="15617" max="15617" width="6.5703125" style="446" customWidth="1"/>
    <col min="15618" max="15618" width="56" style="446" customWidth="1"/>
    <col min="15619" max="15619" width="14.28515625" style="446" customWidth="1"/>
    <col min="15620" max="15620" width="13.85546875" style="446" customWidth="1"/>
    <col min="15621" max="15621" width="14.140625" style="446" customWidth="1"/>
    <col min="15622" max="15872" width="9.140625" style="446"/>
    <col min="15873" max="15873" width="6.5703125" style="446" customWidth="1"/>
    <col min="15874" max="15874" width="56" style="446" customWidth="1"/>
    <col min="15875" max="15875" width="14.28515625" style="446" customWidth="1"/>
    <col min="15876" max="15876" width="13.85546875" style="446" customWidth="1"/>
    <col min="15877" max="15877" width="14.140625" style="446" customWidth="1"/>
    <col min="15878" max="16128" width="9.140625" style="446"/>
    <col min="16129" max="16129" width="6.5703125" style="446" customWidth="1"/>
    <col min="16130" max="16130" width="56" style="446" customWidth="1"/>
    <col min="16131" max="16131" width="14.28515625" style="446" customWidth="1"/>
    <col min="16132" max="16132" width="13.85546875" style="446" customWidth="1"/>
    <col min="16133" max="16133" width="14.140625" style="446" customWidth="1"/>
    <col min="16134" max="16384" width="9.140625" style="446"/>
  </cols>
  <sheetData>
    <row r="1" spans="1:11" s="405" customFormat="1" ht="18.75" customHeight="1">
      <c r="A1" s="403"/>
      <c r="E1" s="445" t="s">
        <v>1110</v>
      </c>
    </row>
    <row r="2" spans="1:11" s="405" customFormat="1" ht="18.75" customHeight="1">
      <c r="A2" s="1234" t="s">
        <v>1111</v>
      </c>
      <c r="B2" s="1234"/>
      <c r="C2" s="1234"/>
      <c r="D2" s="1234"/>
      <c r="E2" s="1234"/>
    </row>
    <row r="3" spans="1:11" ht="18.75" customHeight="1">
      <c r="A3" s="1234" t="s">
        <v>1112</v>
      </c>
      <c r="B3" s="1234"/>
      <c r="C3" s="1234"/>
      <c r="D3" s="1234"/>
      <c r="E3" s="1234"/>
    </row>
    <row r="4" spans="1:11" ht="18.75" customHeight="1">
      <c r="A4" s="1235" t="s">
        <v>460</v>
      </c>
      <c r="B4" s="1235"/>
      <c r="C4" s="1235"/>
      <c r="D4" s="1235"/>
      <c r="E4" s="1235"/>
    </row>
    <row r="5" spans="1:11" ht="18.75" customHeight="1">
      <c r="A5" s="447"/>
      <c r="B5" s="447"/>
      <c r="C5" s="447"/>
      <c r="D5" s="447"/>
      <c r="E5" s="447"/>
      <c r="F5" s="448"/>
      <c r="G5" s="448"/>
      <c r="H5" s="448"/>
      <c r="I5" s="448"/>
      <c r="J5" s="448"/>
      <c r="K5" s="448"/>
    </row>
    <row r="6" spans="1:11" ht="18.75" customHeight="1">
      <c r="D6" s="449"/>
      <c r="E6" s="449" t="s">
        <v>2</v>
      </c>
      <c r="F6" s="448"/>
      <c r="G6" s="448"/>
      <c r="H6" s="448"/>
      <c r="I6" s="448"/>
      <c r="J6" s="448"/>
      <c r="K6" s="448"/>
    </row>
    <row r="7" spans="1:11" ht="63.75" customHeight="1">
      <c r="A7" s="450" t="s">
        <v>3</v>
      </c>
      <c r="B7" s="450" t="s">
        <v>4</v>
      </c>
      <c r="C7" s="450" t="s">
        <v>6</v>
      </c>
      <c r="D7" s="451" t="s">
        <v>1113</v>
      </c>
      <c r="E7" s="451" t="s">
        <v>461</v>
      </c>
    </row>
    <row r="8" spans="1:11" s="452" customFormat="1" ht="18.75" customHeight="1">
      <c r="A8" s="450" t="s">
        <v>10</v>
      </c>
      <c r="B8" s="450" t="s">
        <v>11</v>
      </c>
      <c r="C8" s="450">
        <v>1</v>
      </c>
      <c r="D8" s="450">
        <v>2</v>
      </c>
      <c r="E8" s="450" t="s">
        <v>1079</v>
      </c>
    </row>
    <row r="9" spans="1:11" s="457" customFormat="1" ht="21.75" customHeight="1">
      <c r="A9" s="453"/>
      <c r="B9" s="453" t="s">
        <v>102</v>
      </c>
      <c r="C9" s="454">
        <f>C10+C15+C16+C17+C20+C21+C22+C37+C41</f>
        <v>641709</v>
      </c>
      <c r="D9" s="454">
        <f>D10+D15+D16+D17+D20+D21+D22+D37+D41</f>
        <v>666248.08000000007</v>
      </c>
      <c r="E9" s="455">
        <f t="shared" ref="E9:E42" si="0">D9/C9*100</f>
        <v>103.82401992180257</v>
      </c>
      <c r="F9" s="456"/>
    </row>
    <row r="10" spans="1:11" s="405" customFormat="1" ht="24" customHeight="1">
      <c r="A10" s="458">
        <v>1</v>
      </c>
      <c r="B10" s="459" t="s">
        <v>1080</v>
      </c>
      <c r="C10" s="460">
        <f>C11+C12</f>
        <v>43200</v>
      </c>
      <c r="D10" s="460">
        <f>D11+D12</f>
        <v>43450</v>
      </c>
      <c r="E10" s="460">
        <f t="shared" si="0"/>
        <v>100.5787037037037</v>
      </c>
    </row>
    <row r="11" spans="1:11" s="405" customFormat="1" ht="24" customHeight="1">
      <c r="A11" s="461" t="s">
        <v>19</v>
      </c>
      <c r="B11" s="462" t="s">
        <v>1081</v>
      </c>
      <c r="C11" s="463">
        <v>25500</v>
      </c>
      <c r="D11" s="463">
        <v>25650</v>
      </c>
      <c r="E11" s="463">
        <f t="shared" si="0"/>
        <v>100.58823529411765</v>
      </c>
    </row>
    <row r="12" spans="1:11" s="465" customFormat="1" ht="24" customHeight="1">
      <c r="A12" s="464" t="s">
        <v>19</v>
      </c>
      <c r="B12" s="462" t="s">
        <v>1082</v>
      </c>
      <c r="C12" s="463">
        <v>17700</v>
      </c>
      <c r="D12" s="463">
        <v>17800</v>
      </c>
      <c r="E12" s="463">
        <f t="shared" si="0"/>
        <v>100.56497175141243</v>
      </c>
    </row>
    <row r="13" spans="1:11" s="465" customFormat="1" ht="24" hidden="1" customHeight="1" outlineLevel="1">
      <c r="A13" s="466" t="s">
        <v>432</v>
      </c>
      <c r="B13" s="459" t="s">
        <v>1083</v>
      </c>
      <c r="C13" s="467">
        <v>17278</v>
      </c>
      <c r="D13" s="463">
        <v>18982</v>
      </c>
      <c r="E13" s="467">
        <f t="shared" si="0"/>
        <v>109.86225257552957</v>
      </c>
    </row>
    <row r="14" spans="1:11" s="465" customFormat="1" ht="24" hidden="1" customHeight="1" outlineLevel="1">
      <c r="A14" s="466" t="s">
        <v>432</v>
      </c>
      <c r="B14" s="459" t="s">
        <v>1084</v>
      </c>
      <c r="C14" s="467">
        <v>1750</v>
      </c>
      <c r="D14" s="463">
        <v>1392</v>
      </c>
      <c r="E14" s="467">
        <f t="shared" si="0"/>
        <v>79.542857142857144</v>
      </c>
    </row>
    <row r="15" spans="1:11" s="452" customFormat="1" ht="24" customHeight="1" collapsed="1">
      <c r="A15" s="458">
        <f>A10+1</f>
        <v>2</v>
      </c>
      <c r="B15" s="459" t="s">
        <v>1085</v>
      </c>
      <c r="C15" s="460">
        <v>1100</v>
      </c>
      <c r="D15" s="460">
        <f t="shared" ref="D15:D25" si="1">C15+C15*2%</f>
        <v>1122</v>
      </c>
      <c r="E15" s="460">
        <f t="shared" si="0"/>
        <v>102</v>
      </c>
    </row>
    <row r="16" spans="1:11" s="465" customFormat="1" ht="24" customHeight="1">
      <c r="A16" s="468">
        <f>A15+1</f>
        <v>3</v>
      </c>
      <c r="B16" s="469" t="s">
        <v>1086</v>
      </c>
      <c r="C16" s="470">
        <v>461995</v>
      </c>
      <c r="D16" s="460">
        <v>484171</v>
      </c>
      <c r="E16" s="460">
        <f t="shared" si="0"/>
        <v>104.80005194861417</v>
      </c>
    </row>
    <row r="17" spans="1:5" s="465" customFormat="1" ht="24" customHeight="1">
      <c r="A17" s="458">
        <f>A16+1</f>
        <v>4</v>
      </c>
      <c r="B17" s="459" t="s">
        <v>1087</v>
      </c>
      <c r="C17" s="460">
        <f>C18+C19</f>
        <v>582</v>
      </c>
      <c r="D17" s="460">
        <f t="shared" si="1"/>
        <v>593.64</v>
      </c>
      <c r="E17" s="460">
        <f t="shared" si="0"/>
        <v>102</v>
      </c>
    </row>
    <row r="18" spans="1:5" s="465" customFormat="1" ht="24" hidden="1" customHeight="1" outlineLevel="1">
      <c r="A18" s="458" t="s">
        <v>19</v>
      </c>
      <c r="B18" s="459" t="s">
        <v>1088</v>
      </c>
      <c r="C18" s="460">
        <v>89</v>
      </c>
      <c r="D18" s="463">
        <v>89</v>
      </c>
      <c r="E18" s="460">
        <f t="shared" si="0"/>
        <v>100</v>
      </c>
    </row>
    <row r="19" spans="1:5" s="465" customFormat="1" ht="24" hidden="1" customHeight="1" outlineLevel="1">
      <c r="A19" s="458" t="s">
        <v>19</v>
      </c>
      <c r="B19" s="459" t="s">
        <v>1089</v>
      </c>
      <c r="C19" s="460">
        <v>493</v>
      </c>
      <c r="D19" s="463">
        <v>500</v>
      </c>
      <c r="E19" s="460">
        <f t="shared" si="0"/>
        <v>101.41987829614605</v>
      </c>
    </row>
    <row r="20" spans="1:5" ht="24" customHeight="1" collapsed="1">
      <c r="A20" s="458">
        <f>A17+1</f>
        <v>5</v>
      </c>
      <c r="B20" s="459" t="s">
        <v>1090</v>
      </c>
      <c r="C20" s="460">
        <v>6700</v>
      </c>
      <c r="D20" s="460">
        <v>6700</v>
      </c>
      <c r="E20" s="460">
        <f t="shared" si="0"/>
        <v>100</v>
      </c>
    </row>
    <row r="21" spans="1:5" ht="24" customHeight="1">
      <c r="A21" s="458">
        <f>A20+1</f>
        <v>6</v>
      </c>
      <c r="B21" s="459" t="s">
        <v>1091</v>
      </c>
      <c r="C21" s="460">
        <v>0</v>
      </c>
      <c r="D21" s="460">
        <v>0</v>
      </c>
      <c r="E21" s="460"/>
    </row>
    <row r="22" spans="1:5" ht="24" customHeight="1">
      <c r="A22" s="458">
        <f>A21+1</f>
        <v>7</v>
      </c>
      <c r="B22" s="459" t="s">
        <v>1092</v>
      </c>
      <c r="C22" s="460">
        <f>C23+C24+C25+C34+C35</f>
        <v>119472</v>
      </c>
      <c r="D22" s="460">
        <f t="shared" si="1"/>
        <v>121861.44</v>
      </c>
      <c r="E22" s="460">
        <f>D22/C22*100</f>
        <v>102</v>
      </c>
    </row>
    <row r="23" spans="1:5" ht="24" hidden="1" customHeight="1" outlineLevel="1">
      <c r="A23" s="461" t="s">
        <v>19</v>
      </c>
      <c r="B23" s="462" t="s">
        <v>1093</v>
      </c>
      <c r="C23" s="471">
        <v>5502</v>
      </c>
      <c r="D23" s="463">
        <v>4753</v>
      </c>
      <c r="E23" s="471">
        <f t="shared" si="0"/>
        <v>86.386768447837142</v>
      </c>
    </row>
    <row r="24" spans="1:5" s="465" customFormat="1" ht="24" hidden="1" customHeight="1" outlineLevel="1">
      <c r="A24" s="461" t="s">
        <v>19</v>
      </c>
      <c r="B24" s="462" t="s">
        <v>1094</v>
      </c>
      <c r="C24" s="471">
        <v>4573</v>
      </c>
      <c r="D24" s="463">
        <v>4573</v>
      </c>
      <c r="E24" s="471">
        <f t="shared" si="0"/>
        <v>100</v>
      </c>
    </row>
    <row r="25" spans="1:5" ht="24" hidden="1" customHeight="1" outlineLevel="1">
      <c r="A25" s="466" t="s">
        <v>19</v>
      </c>
      <c r="B25" s="459" t="s">
        <v>916</v>
      </c>
      <c r="C25" s="471">
        <f>SUM(C26:C33)</f>
        <v>86904</v>
      </c>
      <c r="D25" s="463">
        <f t="shared" si="1"/>
        <v>88642.08</v>
      </c>
      <c r="E25" s="471">
        <f t="shared" si="0"/>
        <v>102</v>
      </c>
    </row>
    <row r="26" spans="1:5" ht="24" hidden="1" customHeight="1" outlineLevel="1">
      <c r="A26" s="466" t="s">
        <v>432</v>
      </c>
      <c r="B26" s="459" t="s">
        <v>1095</v>
      </c>
      <c r="C26" s="471">
        <v>17251</v>
      </c>
      <c r="D26" s="471">
        <v>17251</v>
      </c>
      <c r="E26" s="471">
        <f t="shared" si="0"/>
        <v>100</v>
      </c>
    </row>
    <row r="27" spans="1:5" ht="24" hidden="1" customHeight="1" outlineLevel="1">
      <c r="A27" s="458" t="s">
        <v>432</v>
      </c>
      <c r="B27" s="459" t="s">
        <v>1096</v>
      </c>
      <c r="C27" s="460">
        <v>10786</v>
      </c>
      <c r="D27" s="460">
        <v>10786</v>
      </c>
      <c r="E27" s="460">
        <f t="shared" si="0"/>
        <v>100</v>
      </c>
    </row>
    <row r="28" spans="1:5" ht="24" hidden="1" customHeight="1" outlineLevel="1">
      <c r="A28" s="458" t="s">
        <v>432</v>
      </c>
      <c r="B28" s="459" t="s">
        <v>1097</v>
      </c>
      <c r="C28" s="460">
        <v>7532</v>
      </c>
      <c r="D28" s="460">
        <v>7532</v>
      </c>
      <c r="E28" s="460">
        <f t="shared" si="0"/>
        <v>100</v>
      </c>
    </row>
    <row r="29" spans="1:5" s="465" customFormat="1" ht="24" hidden="1" customHeight="1" outlineLevel="1">
      <c r="A29" s="458" t="s">
        <v>432</v>
      </c>
      <c r="B29" s="459" t="s">
        <v>1098</v>
      </c>
      <c r="C29" s="460">
        <v>498</v>
      </c>
      <c r="D29" s="460">
        <v>498</v>
      </c>
      <c r="E29" s="460">
        <f t="shared" si="0"/>
        <v>100</v>
      </c>
    </row>
    <row r="30" spans="1:5" ht="24" hidden="1" customHeight="1" outlineLevel="1">
      <c r="A30" s="458" t="s">
        <v>432</v>
      </c>
      <c r="B30" s="459" t="s">
        <v>1099</v>
      </c>
      <c r="C30" s="460">
        <v>19456</v>
      </c>
      <c r="D30" s="460">
        <v>19456</v>
      </c>
      <c r="E30" s="460">
        <f t="shared" si="0"/>
        <v>100</v>
      </c>
    </row>
    <row r="31" spans="1:5" ht="24" hidden="1" customHeight="1" outlineLevel="1">
      <c r="A31" s="461" t="s">
        <v>432</v>
      </c>
      <c r="B31" s="462" t="s">
        <v>1100</v>
      </c>
      <c r="C31" s="471">
        <v>14766</v>
      </c>
      <c r="D31" s="471">
        <v>14766</v>
      </c>
      <c r="E31" s="471">
        <f t="shared" si="0"/>
        <v>100</v>
      </c>
    </row>
    <row r="32" spans="1:5" s="437" customFormat="1" ht="24" hidden="1" customHeight="1" outlineLevel="1">
      <c r="A32" s="461" t="s">
        <v>432</v>
      </c>
      <c r="B32" s="462" t="s">
        <v>1101</v>
      </c>
      <c r="C32" s="471">
        <v>16615</v>
      </c>
      <c r="D32" s="471">
        <v>16615</v>
      </c>
      <c r="E32" s="471">
        <f t="shared" si="0"/>
        <v>100</v>
      </c>
    </row>
    <row r="33" spans="1:5" ht="24" hidden="1" customHeight="1" outlineLevel="1">
      <c r="A33" s="466" t="s">
        <v>432</v>
      </c>
      <c r="B33" s="459" t="s">
        <v>850</v>
      </c>
      <c r="C33" s="471">
        <v>0</v>
      </c>
      <c r="D33" s="471">
        <v>0</v>
      </c>
      <c r="E33" s="471"/>
    </row>
    <row r="34" spans="1:5" ht="24" hidden="1" customHeight="1" outlineLevel="1">
      <c r="A34" s="466" t="s">
        <v>19</v>
      </c>
      <c r="B34" s="459" t="s">
        <v>1102</v>
      </c>
      <c r="C34" s="471">
        <v>4732</v>
      </c>
      <c r="D34" s="463">
        <v>4736</v>
      </c>
      <c r="E34" s="471">
        <f>D34/C34*100</f>
        <v>100.08453085376163</v>
      </c>
    </row>
    <row r="35" spans="1:5" ht="24" hidden="1" customHeight="1" outlineLevel="1">
      <c r="A35" s="458" t="s">
        <v>19</v>
      </c>
      <c r="B35" s="459" t="s">
        <v>270</v>
      </c>
      <c r="C35" s="460">
        <f>C36</f>
        <v>17761</v>
      </c>
      <c r="D35" s="463">
        <v>15000</v>
      </c>
      <c r="E35" s="460">
        <f t="shared" si="0"/>
        <v>84.45470412701988</v>
      </c>
    </row>
    <row r="36" spans="1:5" ht="24" hidden="1" customHeight="1" outlineLevel="1">
      <c r="A36" s="472" t="s">
        <v>432</v>
      </c>
      <c r="B36" s="473" t="s">
        <v>1103</v>
      </c>
      <c r="C36" s="474">
        <v>17761</v>
      </c>
      <c r="D36" s="474">
        <v>17761</v>
      </c>
      <c r="E36" s="467">
        <f t="shared" si="0"/>
        <v>100</v>
      </c>
    </row>
    <row r="37" spans="1:5" ht="30.6" customHeight="1" collapsed="1">
      <c r="A37" s="458">
        <v>8</v>
      </c>
      <c r="B37" s="459" t="s">
        <v>1104</v>
      </c>
      <c r="C37" s="460">
        <f>C38+C39+C40</f>
        <v>5060</v>
      </c>
      <c r="D37" s="460">
        <f>D38+D39+D40</f>
        <v>4750</v>
      </c>
      <c r="E37" s="460">
        <f t="shared" si="0"/>
        <v>93.873517786561266</v>
      </c>
    </row>
    <row r="38" spans="1:5" ht="24" hidden="1" customHeight="1" outlineLevel="1">
      <c r="A38" s="466" t="s">
        <v>19</v>
      </c>
      <c r="B38" s="475" t="s">
        <v>1105</v>
      </c>
      <c r="C38" s="467">
        <v>3800</v>
      </c>
      <c r="D38" s="463">
        <v>3350</v>
      </c>
      <c r="E38" s="467">
        <f t="shared" si="0"/>
        <v>88.157894736842096</v>
      </c>
    </row>
    <row r="39" spans="1:5" ht="24" hidden="1" customHeight="1" outlineLevel="1">
      <c r="A39" s="472" t="s">
        <v>19</v>
      </c>
      <c r="B39" s="473" t="s">
        <v>1106</v>
      </c>
      <c r="C39" s="474">
        <v>1010</v>
      </c>
      <c r="D39" s="463">
        <v>1150</v>
      </c>
      <c r="E39" s="467">
        <f t="shared" si="0"/>
        <v>113.86138613861385</v>
      </c>
    </row>
    <row r="40" spans="1:5" ht="24" hidden="1" customHeight="1" outlineLevel="1">
      <c r="A40" s="472" t="s">
        <v>19</v>
      </c>
      <c r="B40" s="473" t="s">
        <v>1107</v>
      </c>
      <c r="C40" s="474">
        <v>250</v>
      </c>
      <c r="D40" s="463">
        <v>250</v>
      </c>
      <c r="E40" s="467">
        <f t="shared" si="0"/>
        <v>100</v>
      </c>
    </row>
    <row r="41" spans="1:5" ht="24" customHeight="1" collapsed="1">
      <c r="A41" s="458">
        <v>9</v>
      </c>
      <c r="B41" s="459" t="s">
        <v>1108</v>
      </c>
      <c r="C41" s="460">
        <v>3600</v>
      </c>
      <c r="D41" s="460">
        <v>3600</v>
      </c>
      <c r="E41" s="460">
        <f t="shared" si="0"/>
        <v>100</v>
      </c>
    </row>
    <row r="42" spans="1:5" ht="24" hidden="1" customHeight="1" outlineLevel="1">
      <c r="A42" s="472" t="s">
        <v>19</v>
      </c>
      <c r="B42" s="473" t="s">
        <v>1109</v>
      </c>
      <c r="C42" s="474">
        <v>3600</v>
      </c>
      <c r="D42" s="474">
        <v>3600</v>
      </c>
      <c r="E42" s="467">
        <f t="shared" si="0"/>
        <v>100</v>
      </c>
    </row>
    <row r="43" spans="1:5" ht="24" customHeight="1" collapsed="1">
      <c r="A43" s="442"/>
      <c r="B43" s="442"/>
      <c r="C43" s="476"/>
      <c r="D43" s="476"/>
      <c r="E43" s="476"/>
    </row>
  </sheetData>
  <mergeCells count="3">
    <mergeCell ref="A2:E2"/>
    <mergeCell ref="A3:E3"/>
    <mergeCell ref="A4:E4"/>
  </mergeCells>
  <printOptions horizontalCentered="1"/>
  <pageMargins left="0.56000000000000005" right="0.27559055118110198" top="0.55000000000000004" bottom="0.51" header="0.33" footer="0.19"/>
  <pageSetup paperSize="9" scale="92"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34</vt:i4>
      </vt:variant>
    </vt:vector>
  </HeadingPairs>
  <TitlesOfParts>
    <vt:vector size="69" baseType="lpstr">
      <vt:lpstr>PL12</vt:lpstr>
      <vt:lpstr>PL13</vt:lpstr>
      <vt:lpstr>PL14</vt:lpstr>
      <vt:lpstr>PL15</vt:lpstr>
      <vt:lpstr>PL16</vt:lpstr>
      <vt:lpstr>PL17</vt:lpstr>
      <vt:lpstr>PL 18_TCDT</vt:lpstr>
      <vt:lpstr>PL19</vt:lpstr>
      <vt:lpstr>PL20</vt:lpstr>
      <vt:lpstr>PL21</vt:lpstr>
      <vt:lpstr>PL22</vt:lpstr>
      <vt:lpstr>PL23</vt:lpstr>
      <vt:lpstr>PL24</vt:lpstr>
      <vt:lpstr>PL25_TCDT</vt:lpstr>
      <vt:lpstr>PL26</vt:lpstr>
      <vt:lpstr>PL27</vt:lpstr>
      <vt:lpstr>PL28_TCDN</vt:lpstr>
      <vt:lpstr>PL29</vt:lpstr>
      <vt:lpstr>PL30</vt:lpstr>
      <vt:lpstr>PL31</vt:lpstr>
      <vt:lpstr>PL32</vt:lpstr>
      <vt:lpstr>PL33</vt:lpstr>
      <vt:lpstr>PL34</vt:lpstr>
      <vt:lpstr>PL35</vt:lpstr>
      <vt:lpstr>PL36_TCDT</vt:lpstr>
      <vt:lpstr>PL37</vt:lpstr>
      <vt:lpstr>PL38</vt:lpstr>
      <vt:lpstr>PL39</vt:lpstr>
      <vt:lpstr>PL41</vt:lpstr>
      <vt:lpstr>PL42</vt:lpstr>
      <vt:lpstr>PL43</vt:lpstr>
      <vt:lpstr>PL44</vt:lpstr>
      <vt:lpstr> PL45_TCDN</vt:lpstr>
      <vt:lpstr>PL46_TCDT</vt:lpstr>
      <vt:lpstr>PL47</vt:lpstr>
      <vt:lpstr>'PL 18_TCDT'!Print_Area</vt:lpstr>
      <vt:lpstr>'PL12'!Print_Area</vt:lpstr>
      <vt:lpstr>'PL13'!Print_Area</vt:lpstr>
      <vt:lpstr>'PL14'!Print_Area</vt:lpstr>
      <vt:lpstr>'PL16'!Print_Area</vt:lpstr>
      <vt:lpstr>'PL17'!Print_Area</vt:lpstr>
      <vt:lpstr>'PL20'!Print_Area</vt:lpstr>
      <vt:lpstr>'PL21'!Print_Area</vt:lpstr>
      <vt:lpstr>'PL22'!Print_Area</vt:lpstr>
      <vt:lpstr>'PL23'!Print_Area</vt:lpstr>
      <vt:lpstr>'PL24'!Print_Area</vt:lpstr>
      <vt:lpstr>PL25_TCDT!Print_Area</vt:lpstr>
      <vt:lpstr>'PL26'!Print_Area</vt:lpstr>
      <vt:lpstr>'PL33'!Print_Area</vt:lpstr>
      <vt:lpstr>PL46_TCDT!Print_Area</vt:lpstr>
      <vt:lpstr>'PL 18_TCDT'!Print_Titles</vt:lpstr>
      <vt:lpstr>'PL12'!Print_Titles</vt:lpstr>
      <vt:lpstr>'PL13'!Print_Titles</vt:lpstr>
      <vt:lpstr>'PL14'!Print_Titles</vt:lpstr>
      <vt:lpstr>'PL15'!Print_Titles</vt:lpstr>
      <vt:lpstr>'PL16'!Print_Titles</vt:lpstr>
      <vt:lpstr>'PL17'!Print_Titles</vt:lpstr>
      <vt:lpstr>'PL21'!Print_Titles</vt:lpstr>
      <vt:lpstr>'PL22'!Print_Titles</vt:lpstr>
      <vt:lpstr>'PL23'!Print_Titles</vt:lpstr>
      <vt:lpstr>'PL24'!Print_Titles</vt:lpstr>
      <vt:lpstr>PL25_TCDT!Print_Titles</vt:lpstr>
      <vt:lpstr>'PL26'!Print_Titles</vt:lpstr>
      <vt:lpstr>'PL27'!Print_Titles</vt:lpstr>
      <vt:lpstr>PL28_TCDN!Print_Titles</vt:lpstr>
      <vt:lpstr>'PL30'!Print_Titles</vt:lpstr>
      <vt:lpstr>'PL33'!Print_Titles</vt:lpstr>
      <vt:lpstr>'PL44'!Print_Titles</vt:lpstr>
      <vt:lpstr>PL46_TCDT!Print_Titles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V Ha</dc:creator>
  <cp:lastModifiedBy>Nguyễn Minh Khương</cp:lastModifiedBy>
  <cp:lastPrinted>2024-11-16T10:18:34Z</cp:lastPrinted>
  <dcterms:created xsi:type="dcterms:W3CDTF">2024-11-04T08:16:53Z</dcterms:created>
  <dcterms:modified xsi:type="dcterms:W3CDTF">2024-12-03T08:57:35Z</dcterms:modified>
</cp:coreProperties>
</file>