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tabRatio="874" firstSheet="2" activeTab="2"/>
  </bookViews>
  <sheets>
    <sheet name="Thu nội địa" sheetId="1" state="hidden" r:id="rId1"/>
    <sheet name="Tong hop phan cong" sheetId="15" state="hidden" r:id="rId2"/>
    <sheet name="Bieu 48" sheetId="31" r:id="rId3"/>
    <sheet name="Bieu 50" sheetId="30" r:id="rId4"/>
    <sheet name="Bieu 51" sheetId="6" r:id="rId5"/>
    <sheet name="bieu 52" sheetId="7" r:id="rId6"/>
    <sheet name="bieu 53" sheetId="24" r:id="rId7"/>
    <sheet name="Bieu 54_Tan_NS" sheetId="18" state="hidden" r:id="rId8"/>
    <sheet name="Bieu 54 " sheetId="33" r:id="rId9"/>
    <sheet name="Bieu 58" sheetId="21" r:id="rId10"/>
    <sheet name="Bieu 59" sheetId="22" r:id="rId11"/>
    <sheet name="Bieu 61_Hien" sheetId="29" state="hidden" r:id="rId12"/>
    <sheet name="Bieu 61" sheetId="32" r:id="rId13"/>
    <sheet name="Biêu 63" sheetId="28" r:id="rId14"/>
    <sheet name="Biêu 64" sheetId="27" r:id="rId15"/>
  </sheets>
  <externalReferences>
    <externalReference r:id="rId16"/>
    <externalReference r:id="rId17"/>
    <externalReference r:id="rId18"/>
    <externalReference r:id="rId19"/>
    <externalReference r:id="rId20"/>
  </externalReferences>
  <definedNames>
    <definedName name="_________a1" localSheetId="2" hidden="1">{"'Sheet1'!$L$16"}</definedName>
    <definedName name="_________a1" localSheetId="3" hidden="1">{"'Sheet1'!$L$16"}</definedName>
    <definedName name="_________a1" localSheetId="6" hidden="1">{"'Sheet1'!$L$16"}</definedName>
    <definedName name="_________a1" localSheetId="8" hidden="1">{"'Sheet1'!$L$16"}</definedName>
    <definedName name="_________a1" localSheetId="7" hidden="1">{"'Sheet1'!$L$16"}</definedName>
    <definedName name="_________a1" localSheetId="9" hidden="1">{"'Sheet1'!$L$16"}</definedName>
    <definedName name="_________a1" localSheetId="10" hidden="1">{"'Sheet1'!$L$16"}</definedName>
    <definedName name="_________a1" localSheetId="12" hidden="1">{"'Sheet1'!$L$16"}</definedName>
    <definedName name="_________a1" localSheetId="11" hidden="1">{"'Sheet1'!$L$16"}</definedName>
    <definedName name="_________a1" localSheetId="13" hidden="1">{"'Sheet1'!$L$16"}</definedName>
    <definedName name="_________a1" localSheetId="14" hidden="1">{"'Sheet1'!$L$16"}</definedName>
    <definedName name="_________a1" hidden="1">{"'Sheet1'!$L$16"}</definedName>
    <definedName name="_________PA3" localSheetId="2" hidden="1">{"'Sheet1'!$L$16"}</definedName>
    <definedName name="_________PA3" localSheetId="3" hidden="1">{"'Sheet1'!$L$16"}</definedName>
    <definedName name="_________PA3" localSheetId="6" hidden="1">{"'Sheet1'!$L$16"}</definedName>
    <definedName name="_________PA3" localSheetId="8" hidden="1">{"'Sheet1'!$L$16"}</definedName>
    <definedName name="_________PA3" localSheetId="7" hidden="1">{"'Sheet1'!$L$16"}</definedName>
    <definedName name="_________PA3" localSheetId="9" hidden="1">{"'Sheet1'!$L$16"}</definedName>
    <definedName name="_________PA3" localSheetId="10" hidden="1">{"'Sheet1'!$L$16"}</definedName>
    <definedName name="_________PA3" localSheetId="12" hidden="1">{"'Sheet1'!$L$16"}</definedName>
    <definedName name="_________PA3" localSheetId="11" hidden="1">{"'Sheet1'!$L$16"}</definedName>
    <definedName name="_________PA3" localSheetId="13" hidden="1">{"'Sheet1'!$L$16"}</definedName>
    <definedName name="_________PA3" localSheetId="14" hidden="1">{"'Sheet1'!$L$16"}</definedName>
    <definedName name="_________PA3" hidden="1">{"'Sheet1'!$L$16"}</definedName>
    <definedName name="_______a1" localSheetId="2" hidden="1">{"'Sheet1'!$L$16"}</definedName>
    <definedName name="_______a1" localSheetId="3" hidden="1">{"'Sheet1'!$L$16"}</definedName>
    <definedName name="_______a1" localSheetId="6" hidden="1">{"'Sheet1'!$L$16"}</definedName>
    <definedName name="_______a1" localSheetId="8" hidden="1">{"'Sheet1'!$L$16"}</definedName>
    <definedName name="_______a1" localSheetId="7" hidden="1">{"'Sheet1'!$L$16"}</definedName>
    <definedName name="_______a1" localSheetId="9" hidden="1">{"'Sheet1'!$L$16"}</definedName>
    <definedName name="_______a1" localSheetId="10" hidden="1">{"'Sheet1'!$L$16"}</definedName>
    <definedName name="_______a1" localSheetId="12" hidden="1">{"'Sheet1'!$L$16"}</definedName>
    <definedName name="_______a1" localSheetId="11" hidden="1">{"'Sheet1'!$L$16"}</definedName>
    <definedName name="_______a1" localSheetId="13" hidden="1">{"'Sheet1'!$L$16"}</definedName>
    <definedName name="_______a1" localSheetId="14" hidden="1">{"'Sheet1'!$L$16"}</definedName>
    <definedName name="_______a1" hidden="1">{"'Sheet1'!$L$16"}</definedName>
    <definedName name="_______PA3" localSheetId="2" hidden="1">{"'Sheet1'!$L$16"}</definedName>
    <definedName name="_______PA3" localSheetId="3" hidden="1">{"'Sheet1'!$L$16"}</definedName>
    <definedName name="_______PA3" localSheetId="6" hidden="1">{"'Sheet1'!$L$16"}</definedName>
    <definedName name="_______PA3" localSheetId="8" hidden="1">{"'Sheet1'!$L$16"}</definedName>
    <definedName name="_______PA3" localSheetId="7" hidden="1">{"'Sheet1'!$L$16"}</definedName>
    <definedName name="_______PA3" localSheetId="9" hidden="1">{"'Sheet1'!$L$16"}</definedName>
    <definedName name="_______PA3" localSheetId="10" hidden="1">{"'Sheet1'!$L$16"}</definedName>
    <definedName name="_______PA3" localSheetId="12" hidden="1">{"'Sheet1'!$L$16"}</definedName>
    <definedName name="_______PA3" localSheetId="11" hidden="1">{"'Sheet1'!$L$16"}</definedName>
    <definedName name="_______PA3" localSheetId="13" hidden="1">{"'Sheet1'!$L$16"}</definedName>
    <definedName name="_______PA3" localSheetId="14" hidden="1">{"'Sheet1'!$L$16"}</definedName>
    <definedName name="_______PA3" hidden="1">{"'Sheet1'!$L$16"}</definedName>
    <definedName name="______a1" localSheetId="2" hidden="1">{"'Sheet1'!$L$16"}</definedName>
    <definedName name="______a1" localSheetId="3" hidden="1">{"'Sheet1'!$L$16"}</definedName>
    <definedName name="______a1" localSheetId="6" hidden="1">{"'Sheet1'!$L$16"}</definedName>
    <definedName name="______a1" localSheetId="8" hidden="1">{"'Sheet1'!$L$16"}</definedName>
    <definedName name="______a1" localSheetId="7" hidden="1">{"'Sheet1'!$L$16"}</definedName>
    <definedName name="______a1" localSheetId="9" hidden="1">{"'Sheet1'!$L$16"}</definedName>
    <definedName name="______a1" localSheetId="10" hidden="1">{"'Sheet1'!$L$16"}</definedName>
    <definedName name="______a1" localSheetId="12" hidden="1">{"'Sheet1'!$L$16"}</definedName>
    <definedName name="______a1" localSheetId="11" hidden="1">{"'Sheet1'!$L$16"}</definedName>
    <definedName name="______a1" localSheetId="13" hidden="1">{"'Sheet1'!$L$16"}</definedName>
    <definedName name="______a1" localSheetId="14" hidden="1">{"'Sheet1'!$L$16"}</definedName>
    <definedName name="______a1" hidden="1">{"'Sheet1'!$L$16"}</definedName>
    <definedName name="______h1" localSheetId="2" hidden="1">{"'Sheet1'!$L$16"}</definedName>
    <definedName name="______h1" localSheetId="3" hidden="1">{"'Sheet1'!$L$16"}</definedName>
    <definedName name="______h1" localSheetId="6" hidden="1">{"'Sheet1'!$L$16"}</definedName>
    <definedName name="______h1" localSheetId="8" hidden="1">{"'Sheet1'!$L$16"}</definedName>
    <definedName name="______h1" localSheetId="7" hidden="1">{"'Sheet1'!$L$16"}</definedName>
    <definedName name="______h1" localSheetId="9" hidden="1">{"'Sheet1'!$L$16"}</definedName>
    <definedName name="______h1" localSheetId="10" hidden="1">{"'Sheet1'!$L$16"}</definedName>
    <definedName name="______h1" localSheetId="12" hidden="1">{"'Sheet1'!$L$16"}</definedName>
    <definedName name="______h1" localSheetId="11" hidden="1">{"'Sheet1'!$L$16"}</definedName>
    <definedName name="______h1" localSheetId="13" hidden="1">{"'Sheet1'!$L$16"}</definedName>
    <definedName name="______h1" localSheetId="14" hidden="1">{"'Sheet1'!$L$16"}</definedName>
    <definedName name="______h1" hidden="1">{"'Sheet1'!$L$16"}</definedName>
    <definedName name="______h10" localSheetId="2" hidden="1">{#N/A,#N/A,FALSE,"Chi tiÆt"}</definedName>
    <definedName name="______h10" localSheetId="3" hidden="1">{#N/A,#N/A,FALSE,"Chi tiÆt"}</definedName>
    <definedName name="______h10" localSheetId="6" hidden="1">{#N/A,#N/A,FALSE,"Chi tiÆt"}</definedName>
    <definedName name="______h10" localSheetId="8" hidden="1">{#N/A,#N/A,FALSE,"Chi tiÆt"}</definedName>
    <definedName name="______h10" localSheetId="7" hidden="1">{#N/A,#N/A,FALSE,"Chi tiÆt"}</definedName>
    <definedName name="______h10" localSheetId="9" hidden="1">{#N/A,#N/A,FALSE,"Chi tiÆt"}</definedName>
    <definedName name="______h10" localSheetId="10" hidden="1">{#N/A,#N/A,FALSE,"Chi tiÆt"}</definedName>
    <definedName name="______h10" localSheetId="12" hidden="1">{#N/A,#N/A,FALSE,"Chi tiÆt"}</definedName>
    <definedName name="______h10" localSheetId="11" hidden="1">{#N/A,#N/A,FALSE,"Chi tiÆt"}</definedName>
    <definedName name="______h10" localSheetId="13" hidden="1">{#N/A,#N/A,FALSE,"Chi tiÆt"}</definedName>
    <definedName name="______h10" localSheetId="14" hidden="1">{#N/A,#N/A,FALSE,"Chi tiÆt"}</definedName>
    <definedName name="______h10" hidden="1">{#N/A,#N/A,FALSE,"Chi tiÆt"}</definedName>
    <definedName name="______h2" localSheetId="2" hidden="1">{"'Sheet1'!$L$16"}</definedName>
    <definedName name="______h2" localSheetId="3" hidden="1">{"'Sheet1'!$L$16"}</definedName>
    <definedName name="______h2" localSheetId="6" hidden="1">{"'Sheet1'!$L$16"}</definedName>
    <definedName name="______h2" localSheetId="8" hidden="1">{"'Sheet1'!$L$16"}</definedName>
    <definedName name="______h2" localSheetId="7" hidden="1">{"'Sheet1'!$L$16"}</definedName>
    <definedName name="______h2" localSheetId="9" hidden="1">{"'Sheet1'!$L$16"}</definedName>
    <definedName name="______h2" localSheetId="10" hidden="1">{"'Sheet1'!$L$16"}</definedName>
    <definedName name="______h2" localSheetId="12" hidden="1">{"'Sheet1'!$L$16"}</definedName>
    <definedName name="______h2" localSheetId="11" hidden="1">{"'Sheet1'!$L$16"}</definedName>
    <definedName name="______h2" localSheetId="13" hidden="1">{"'Sheet1'!$L$16"}</definedName>
    <definedName name="______h2" localSheetId="14" hidden="1">{"'Sheet1'!$L$16"}</definedName>
    <definedName name="______h2" hidden="1">{"'Sheet1'!$L$16"}</definedName>
    <definedName name="______h3" localSheetId="2" hidden="1">{"'Sheet1'!$L$16"}</definedName>
    <definedName name="______h3" localSheetId="3" hidden="1">{"'Sheet1'!$L$16"}</definedName>
    <definedName name="______h3" localSheetId="6" hidden="1">{"'Sheet1'!$L$16"}</definedName>
    <definedName name="______h3" localSheetId="8" hidden="1">{"'Sheet1'!$L$16"}</definedName>
    <definedName name="______h3" localSheetId="7" hidden="1">{"'Sheet1'!$L$16"}</definedName>
    <definedName name="______h3" localSheetId="9" hidden="1">{"'Sheet1'!$L$16"}</definedName>
    <definedName name="______h3" localSheetId="10" hidden="1">{"'Sheet1'!$L$16"}</definedName>
    <definedName name="______h3" localSheetId="12" hidden="1">{"'Sheet1'!$L$16"}</definedName>
    <definedName name="______h3" localSheetId="11" hidden="1">{"'Sheet1'!$L$16"}</definedName>
    <definedName name="______h3" localSheetId="13" hidden="1">{"'Sheet1'!$L$16"}</definedName>
    <definedName name="______h3" localSheetId="14" hidden="1">{"'Sheet1'!$L$16"}</definedName>
    <definedName name="______h3" hidden="1">{"'Sheet1'!$L$16"}</definedName>
    <definedName name="______h5" localSheetId="2" hidden="1">{"'Sheet1'!$L$16"}</definedName>
    <definedName name="______h5" localSheetId="3" hidden="1">{"'Sheet1'!$L$16"}</definedName>
    <definedName name="______h5" localSheetId="6" hidden="1">{"'Sheet1'!$L$16"}</definedName>
    <definedName name="______h5" localSheetId="8" hidden="1">{"'Sheet1'!$L$16"}</definedName>
    <definedName name="______h5" localSheetId="7" hidden="1">{"'Sheet1'!$L$16"}</definedName>
    <definedName name="______h5" localSheetId="9" hidden="1">{"'Sheet1'!$L$16"}</definedName>
    <definedName name="______h5" localSheetId="10" hidden="1">{"'Sheet1'!$L$16"}</definedName>
    <definedName name="______h5" localSheetId="12" hidden="1">{"'Sheet1'!$L$16"}</definedName>
    <definedName name="______h5" localSheetId="11" hidden="1">{"'Sheet1'!$L$16"}</definedName>
    <definedName name="______h5" localSheetId="13" hidden="1">{"'Sheet1'!$L$16"}</definedName>
    <definedName name="______h5" localSheetId="14" hidden="1">{"'Sheet1'!$L$16"}</definedName>
    <definedName name="______h5" hidden="1">{"'Sheet1'!$L$16"}</definedName>
    <definedName name="______h6" localSheetId="2" hidden="1">{"'Sheet1'!$L$16"}</definedName>
    <definedName name="______h6" localSheetId="3" hidden="1">{"'Sheet1'!$L$16"}</definedName>
    <definedName name="______h6" localSheetId="6" hidden="1">{"'Sheet1'!$L$16"}</definedName>
    <definedName name="______h6" localSheetId="8" hidden="1">{"'Sheet1'!$L$16"}</definedName>
    <definedName name="______h6" localSheetId="7" hidden="1">{"'Sheet1'!$L$16"}</definedName>
    <definedName name="______h6" localSheetId="9" hidden="1">{"'Sheet1'!$L$16"}</definedName>
    <definedName name="______h6" localSheetId="10" hidden="1">{"'Sheet1'!$L$16"}</definedName>
    <definedName name="______h6" localSheetId="12" hidden="1">{"'Sheet1'!$L$16"}</definedName>
    <definedName name="______h6" localSheetId="11" hidden="1">{"'Sheet1'!$L$16"}</definedName>
    <definedName name="______h6" localSheetId="13" hidden="1">{"'Sheet1'!$L$16"}</definedName>
    <definedName name="______h6" localSheetId="14" hidden="1">{"'Sheet1'!$L$16"}</definedName>
    <definedName name="______h6" hidden="1">{"'Sheet1'!$L$16"}</definedName>
    <definedName name="______h7" localSheetId="2" hidden="1">{"'Sheet1'!$L$16"}</definedName>
    <definedName name="______h7" localSheetId="3" hidden="1">{"'Sheet1'!$L$16"}</definedName>
    <definedName name="______h7" localSheetId="6" hidden="1">{"'Sheet1'!$L$16"}</definedName>
    <definedName name="______h7" localSheetId="8" hidden="1">{"'Sheet1'!$L$16"}</definedName>
    <definedName name="______h7" localSheetId="7" hidden="1">{"'Sheet1'!$L$16"}</definedName>
    <definedName name="______h7" localSheetId="9" hidden="1">{"'Sheet1'!$L$16"}</definedName>
    <definedName name="______h7" localSheetId="10" hidden="1">{"'Sheet1'!$L$16"}</definedName>
    <definedName name="______h7" localSheetId="12" hidden="1">{"'Sheet1'!$L$16"}</definedName>
    <definedName name="______h7" localSheetId="11" hidden="1">{"'Sheet1'!$L$16"}</definedName>
    <definedName name="______h7" localSheetId="13" hidden="1">{"'Sheet1'!$L$16"}</definedName>
    <definedName name="______h7" localSheetId="14" hidden="1">{"'Sheet1'!$L$16"}</definedName>
    <definedName name="______h7" hidden="1">{"'Sheet1'!$L$16"}</definedName>
    <definedName name="______h8" localSheetId="2" hidden="1">{"'Sheet1'!$L$16"}</definedName>
    <definedName name="______h8" localSheetId="3" hidden="1">{"'Sheet1'!$L$16"}</definedName>
    <definedName name="______h8" localSheetId="6" hidden="1">{"'Sheet1'!$L$16"}</definedName>
    <definedName name="______h8" localSheetId="8" hidden="1">{"'Sheet1'!$L$16"}</definedName>
    <definedName name="______h8" localSheetId="7" hidden="1">{"'Sheet1'!$L$16"}</definedName>
    <definedName name="______h8" localSheetId="9" hidden="1">{"'Sheet1'!$L$16"}</definedName>
    <definedName name="______h8" localSheetId="10" hidden="1">{"'Sheet1'!$L$16"}</definedName>
    <definedName name="______h8" localSheetId="12" hidden="1">{"'Sheet1'!$L$16"}</definedName>
    <definedName name="______h8" localSheetId="11" hidden="1">{"'Sheet1'!$L$16"}</definedName>
    <definedName name="______h8" localSheetId="13" hidden="1">{"'Sheet1'!$L$16"}</definedName>
    <definedName name="______h8" localSheetId="14" hidden="1">{"'Sheet1'!$L$16"}</definedName>
    <definedName name="______h8" hidden="1">{"'Sheet1'!$L$16"}</definedName>
    <definedName name="______h9" localSheetId="2" hidden="1">{"'Sheet1'!$L$16"}</definedName>
    <definedName name="______h9" localSheetId="3" hidden="1">{"'Sheet1'!$L$16"}</definedName>
    <definedName name="______h9" localSheetId="6" hidden="1">{"'Sheet1'!$L$16"}</definedName>
    <definedName name="______h9" localSheetId="8" hidden="1">{"'Sheet1'!$L$16"}</definedName>
    <definedName name="______h9" localSheetId="7" hidden="1">{"'Sheet1'!$L$16"}</definedName>
    <definedName name="______h9" localSheetId="9" hidden="1">{"'Sheet1'!$L$16"}</definedName>
    <definedName name="______h9" localSheetId="10" hidden="1">{"'Sheet1'!$L$16"}</definedName>
    <definedName name="______h9" localSheetId="12" hidden="1">{"'Sheet1'!$L$16"}</definedName>
    <definedName name="______h9" localSheetId="11" hidden="1">{"'Sheet1'!$L$16"}</definedName>
    <definedName name="______h9" localSheetId="13" hidden="1">{"'Sheet1'!$L$16"}</definedName>
    <definedName name="______h9" localSheetId="14" hidden="1">{"'Sheet1'!$L$16"}</definedName>
    <definedName name="______h9" hidden="1">{"'Sheet1'!$L$16"}</definedName>
    <definedName name="______NSO2" localSheetId="2" hidden="1">{"'Sheet1'!$L$16"}</definedName>
    <definedName name="______NSO2" localSheetId="3" hidden="1">{"'Sheet1'!$L$16"}</definedName>
    <definedName name="______NSO2" localSheetId="6" hidden="1">{"'Sheet1'!$L$16"}</definedName>
    <definedName name="______NSO2" localSheetId="8" hidden="1">{"'Sheet1'!$L$16"}</definedName>
    <definedName name="______NSO2" localSheetId="7" hidden="1">{"'Sheet1'!$L$16"}</definedName>
    <definedName name="______NSO2" localSheetId="9" hidden="1">{"'Sheet1'!$L$16"}</definedName>
    <definedName name="______NSO2" localSheetId="10" hidden="1">{"'Sheet1'!$L$16"}</definedName>
    <definedName name="______NSO2" localSheetId="12" hidden="1">{"'Sheet1'!$L$16"}</definedName>
    <definedName name="______NSO2" localSheetId="11" hidden="1">{"'Sheet1'!$L$16"}</definedName>
    <definedName name="______NSO2" localSheetId="13" hidden="1">{"'Sheet1'!$L$16"}</definedName>
    <definedName name="______NSO2" localSheetId="14" hidden="1">{"'Sheet1'!$L$16"}</definedName>
    <definedName name="______NSO2" hidden="1">{"'Sheet1'!$L$16"}</definedName>
    <definedName name="______PA3" localSheetId="2" hidden="1">{"'Sheet1'!$L$16"}</definedName>
    <definedName name="______PA3" localSheetId="3" hidden="1">{"'Sheet1'!$L$16"}</definedName>
    <definedName name="______PA3" localSheetId="6" hidden="1">{"'Sheet1'!$L$16"}</definedName>
    <definedName name="______PA3" localSheetId="8" hidden="1">{"'Sheet1'!$L$16"}</definedName>
    <definedName name="______PA3" localSheetId="7" hidden="1">{"'Sheet1'!$L$16"}</definedName>
    <definedName name="______PA3" localSheetId="9" hidden="1">{"'Sheet1'!$L$16"}</definedName>
    <definedName name="______PA3" localSheetId="10" hidden="1">{"'Sheet1'!$L$16"}</definedName>
    <definedName name="______PA3" localSheetId="12" hidden="1">{"'Sheet1'!$L$16"}</definedName>
    <definedName name="______PA3" localSheetId="11" hidden="1">{"'Sheet1'!$L$16"}</definedName>
    <definedName name="______PA3" localSheetId="13" hidden="1">{"'Sheet1'!$L$16"}</definedName>
    <definedName name="______PA3" localSheetId="14" hidden="1">{"'Sheet1'!$L$16"}</definedName>
    <definedName name="______PA3" hidden="1">{"'Sheet1'!$L$16"}</definedName>
    <definedName name="______vl2" localSheetId="2" hidden="1">{"'Sheet1'!$L$16"}</definedName>
    <definedName name="______vl2" localSheetId="3" hidden="1">{"'Sheet1'!$L$16"}</definedName>
    <definedName name="______vl2" localSheetId="6" hidden="1">{"'Sheet1'!$L$16"}</definedName>
    <definedName name="______vl2" localSheetId="8" hidden="1">{"'Sheet1'!$L$16"}</definedName>
    <definedName name="______vl2" localSheetId="7" hidden="1">{"'Sheet1'!$L$16"}</definedName>
    <definedName name="______vl2" localSheetId="9" hidden="1">{"'Sheet1'!$L$16"}</definedName>
    <definedName name="______vl2" localSheetId="10" hidden="1">{"'Sheet1'!$L$16"}</definedName>
    <definedName name="______vl2" localSheetId="12" hidden="1">{"'Sheet1'!$L$16"}</definedName>
    <definedName name="______vl2" localSheetId="11" hidden="1">{"'Sheet1'!$L$16"}</definedName>
    <definedName name="______vl2" localSheetId="13" hidden="1">{"'Sheet1'!$L$16"}</definedName>
    <definedName name="______vl2" localSheetId="14" hidden="1">{"'Sheet1'!$L$16"}</definedName>
    <definedName name="______vl2" hidden="1">{"'Sheet1'!$L$16"}</definedName>
    <definedName name="_____a1" localSheetId="2" hidden="1">{"'Sheet1'!$L$16"}</definedName>
    <definedName name="_____a1" localSheetId="3" hidden="1">{"'Sheet1'!$L$16"}</definedName>
    <definedName name="_____a1" localSheetId="6" hidden="1">{"'Sheet1'!$L$16"}</definedName>
    <definedName name="_____a1" localSheetId="8" hidden="1">{"'Sheet1'!$L$16"}</definedName>
    <definedName name="_____a1" localSheetId="7" hidden="1">{"'Sheet1'!$L$16"}</definedName>
    <definedName name="_____a1" localSheetId="9" hidden="1">{"'Sheet1'!$L$16"}</definedName>
    <definedName name="_____a1" localSheetId="10" hidden="1">{"'Sheet1'!$L$16"}</definedName>
    <definedName name="_____a1" localSheetId="12" hidden="1">{"'Sheet1'!$L$16"}</definedName>
    <definedName name="_____a1" localSheetId="11" hidden="1">{"'Sheet1'!$L$16"}</definedName>
    <definedName name="_____a1" localSheetId="13" hidden="1">{"'Sheet1'!$L$16"}</definedName>
    <definedName name="_____a1" localSheetId="14" hidden="1">{"'Sheet1'!$L$16"}</definedName>
    <definedName name="_____a1" hidden="1">{"'Sheet1'!$L$16"}</definedName>
    <definedName name="_____h1" localSheetId="2" hidden="1">{"'Sheet1'!$L$16"}</definedName>
    <definedName name="_____h1" localSheetId="3" hidden="1">{"'Sheet1'!$L$16"}</definedName>
    <definedName name="_____h1" localSheetId="6" hidden="1">{"'Sheet1'!$L$16"}</definedName>
    <definedName name="_____h1" localSheetId="8" hidden="1">{"'Sheet1'!$L$16"}</definedName>
    <definedName name="_____h1" localSheetId="7" hidden="1">{"'Sheet1'!$L$16"}</definedName>
    <definedName name="_____h1" localSheetId="9" hidden="1">{"'Sheet1'!$L$16"}</definedName>
    <definedName name="_____h1" localSheetId="10" hidden="1">{"'Sheet1'!$L$16"}</definedName>
    <definedName name="_____h1" localSheetId="12" hidden="1">{"'Sheet1'!$L$16"}</definedName>
    <definedName name="_____h1" localSheetId="11" hidden="1">{"'Sheet1'!$L$16"}</definedName>
    <definedName name="_____h1" localSheetId="13" hidden="1">{"'Sheet1'!$L$16"}</definedName>
    <definedName name="_____h1" localSheetId="14" hidden="1">{"'Sheet1'!$L$16"}</definedName>
    <definedName name="_____h1" hidden="1">{"'Sheet1'!$L$16"}</definedName>
    <definedName name="_____h10" localSheetId="2" hidden="1">{#N/A,#N/A,FALSE,"Chi tiÆt"}</definedName>
    <definedName name="_____h10" localSheetId="3" hidden="1">{#N/A,#N/A,FALSE,"Chi tiÆt"}</definedName>
    <definedName name="_____h10" localSheetId="6" hidden="1">{#N/A,#N/A,FALSE,"Chi tiÆt"}</definedName>
    <definedName name="_____h10" localSheetId="8" hidden="1">{#N/A,#N/A,FALSE,"Chi tiÆt"}</definedName>
    <definedName name="_____h10" localSheetId="7" hidden="1">{#N/A,#N/A,FALSE,"Chi tiÆt"}</definedName>
    <definedName name="_____h10" localSheetId="9" hidden="1">{#N/A,#N/A,FALSE,"Chi tiÆt"}</definedName>
    <definedName name="_____h10" localSheetId="10" hidden="1">{#N/A,#N/A,FALSE,"Chi tiÆt"}</definedName>
    <definedName name="_____h10" localSheetId="12" hidden="1">{#N/A,#N/A,FALSE,"Chi tiÆt"}</definedName>
    <definedName name="_____h10" localSheetId="11" hidden="1">{#N/A,#N/A,FALSE,"Chi tiÆt"}</definedName>
    <definedName name="_____h10" localSheetId="13" hidden="1">{#N/A,#N/A,FALSE,"Chi tiÆt"}</definedName>
    <definedName name="_____h10" localSheetId="14" hidden="1">{#N/A,#N/A,FALSE,"Chi tiÆt"}</definedName>
    <definedName name="_____h10" hidden="1">{#N/A,#N/A,FALSE,"Chi tiÆt"}</definedName>
    <definedName name="_____h2" localSheetId="2" hidden="1">{"'Sheet1'!$L$16"}</definedName>
    <definedName name="_____h2" localSheetId="3" hidden="1">{"'Sheet1'!$L$16"}</definedName>
    <definedName name="_____h2" localSheetId="6" hidden="1">{"'Sheet1'!$L$16"}</definedName>
    <definedName name="_____h2" localSheetId="8" hidden="1">{"'Sheet1'!$L$16"}</definedName>
    <definedName name="_____h2" localSheetId="7" hidden="1">{"'Sheet1'!$L$16"}</definedName>
    <definedName name="_____h2" localSheetId="9" hidden="1">{"'Sheet1'!$L$16"}</definedName>
    <definedName name="_____h2" localSheetId="10" hidden="1">{"'Sheet1'!$L$16"}</definedName>
    <definedName name="_____h2" localSheetId="12" hidden="1">{"'Sheet1'!$L$16"}</definedName>
    <definedName name="_____h2" localSheetId="11" hidden="1">{"'Sheet1'!$L$16"}</definedName>
    <definedName name="_____h2" localSheetId="13" hidden="1">{"'Sheet1'!$L$16"}</definedName>
    <definedName name="_____h2" localSheetId="14" hidden="1">{"'Sheet1'!$L$16"}</definedName>
    <definedName name="_____h2" hidden="1">{"'Sheet1'!$L$16"}</definedName>
    <definedName name="_____h3" localSheetId="2" hidden="1">{"'Sheet1'!$L$16"}</definedName>
    <definedName name="_____h3" localSheetId="3" hidden="1">{"'Sheet1'!$L$16"}</definedName>
    <definedName name="_____h3" localSheetId="6" hidden="1">{"'Sheet1'!$L$16"}</definedName>
    <definedName name="_____h3" localSheetId="8" hidden="1">{"'Sheet1'!$L$16"}</definedName>
    <definedName name="_____h3" localSheetId="7" hidden="1">{"'Sheet1'!$L$16"}</definedName>
    <definedName name="_____h3" localSheetId="9" hidden="1">{"'Sheet1'!$L$16"}</definedName>
    <definedName name="_____h3" localSheetId="10" hidden="1">{"'Sheet1'!$L$16"}</definedName>
    <definedName name="_____h3" localSheetId="12" hidden="1">{"'Sheet1'!$L$16"}</definedName>
    <definedName name="_____h3" localSheetId="11" hidden="1">{"'Sheet1'!$L$16"}</definedName>
    <definedName name="_____h3" localSheetId="13" hidden="1">{"'Sheet1'!$L$16"}</definedName>
    <definedName name="_____h3" localSheetId="14" hidden="1">{"'Sheet1'!$L$16"}</definedName>
    <definedName name="_____h3" hidden="1">{"'Sheet1'!$L$16"}</definedName>
    <definedName name="_____h5" localSheetId="2" hidden="1">{"'Sheet1'!$L$16"}</definedName>
    <definedName name="_____h5" localSheetId="3" hidden="1">{"'Sheet1'!$L$16"}</definedName>
    <definedName name="_____h5" localSheetId="6" hidden="1">{"'Sheet1'!$L$16"}</definedName>
    <definedName name="_____h5" localSheetId="8" hidden="1">{"'Sheet1'!$L$16"}</definedName>
    <definedName name="_____h5" localSheetId="7" hidden="1">{"'Sheet1'!$L$16"}</definedName>
    <definedName name="_____h5" localSheetId="9" hidden="1">{"'Sheet1'!$L$16"}</definedName>
    <definedName name="_____h5" localSheetId="10" hidden="1">{"'Sheet1'!$L$16"}</definedName>
    <definedName name="_____h5" localSheetId="12" hidden="1">{"'Sheet1'!$L$16"}</definedName>
    <definedName name="_____h5" localSheetId="11" hidden="1">{"'Sheet1'!$L$16"}</definedName>
    <definedName name="_____h5" localSheetId="13" hidden="1">{"'Sheet1'!$L$16"}</definedName>
    <definedName name="_____h5" localSheetId="14" hidden="1">{"'Sheet1'!$L$16"}</definedName>
    <definedName name="_____h5" hidden="1">{"'Sheet1'!$L$16"}</definedName>
    <definedName name="_____h6" localSheetId="2" hidden="1">{"'Sheet1'!$L$16"}</definedName>
    <definedName name="_____h6" localSheetId="3" hidden="1">{"'Sheet1'!$L$16"}</definedName>
    <definedName name="_____h6" localSheetId="6" hidden="1">{"'Sheet1'!$L$16"}</definedName>
    <definedName name="_____h6" localSheetId="8" hidden="1">{"'Sheet1'!$L$16"}</definedName>
    <definedName name="_____h6" localSheetId="7" hidden="1">{"'Sheet1'!$L$16"}</definedName>
    <definedName name="_____h6" localSheetId="9" hidden="1">{"'Sheet1'!$L$16"}</definedName>
    <definedName name="_____h6" localSheetId="10" hidden="1">{"'Sheet1'!$L$16"}</definedName>
    <definedName name="_____h6" localSheetId="12" hidden="1">{"'Sheet1'!$L$16"}</definedName>
    <definedName name="_____h6" localSheetId="11" hidden="1">{"'Sheet1'!$L$16"}</definedName>
    <definedName name="_____h6" localSheetId="13" hidden="1">{"'Sheet1'!$L$16"}</definedName>
    <definedName name="_____h6" localSheetId="14" hidden="1">{"'Sheet1'!$L$16"}</definedName>
    <definedName name="_____h6" hidden="1">{"'Sheet1'!$L$16"}</definedName>
    <definedName name="_____h7" localSheetId="2" hidden="1">{"'Sheet1'!$L$16"}</definedName>
    <definedName name="_____h7" localSheetId="3" hidden="1">{"'Sheet1'!$L$16"}</definedName>
    <definedName name="_____h7" localSheetId="6" hidden="1">{"'Sheet1'!$L$16"}</definedName>
    <definedName name="_____h7" localSheetId="8" hidden="1">{"'Sheet1'!$L$16"}</definedName>
    <definedName name="_____h7" localSheetId="7" hidden="1">{"'Sheet1'!$L$16"}</definedName>
    <definedName name="_____h7" localSheetId="9" hidden="1">{"'Sheet1'!$L$16"}</definedName>
    <definedName name="_____h7" localSheetId="10" hidden="1">{"'Sheet1'!$L$16"}</definedName>
    <definedName name="_____h7" localSheetId="12" hidden="1">{"'Sheet1'!$L$16"}</definedName>
    <definedName name="_____h7" localSheetId="11" hidden="1">{"'Sheet1'!$L$16"}</definedName>
    <definedName name="_____h7" localSheetId="13" hidden="1">{"'Sheet1'!$L$16"}</definedName>
    <definedName name="_____h7" localSheetId="14" hidden="1">{"'Sheet1'!$L$16"}</definedName>
    <definedName name="_____h7" hidden="1">{"'Sheet1'!$L$16"}</definedName>
    <definedName name="_____h8" localSheetId="2" hidden="1">{"'Sheet1'!$L$16"}</definedName>
    <definedName name="_____h8" localSheetId="3" hidden="1">{"'Sheet1'!$L$16"}</definedName>
    <definedName name="_____h8" localSheetId="6" hidden="1">{"'Sheet1'!$L$16"}</definedName>
    <definedName name="_____h8" localSheetId="8" hidden="1">{"'Sheet1'!$L$16"}</definedName>
    <definedName name="_____h8" localSheetId="7" hidden="1">{"'Sheet1'!$L$16"}</definedName>
    <definedName name="_____h8" localSheetId="9" hidden="1">{"'Sheet1'!$L$16"}</definedName>
    <definedName name="_____h8" localSheetId="10" hidden="1">{"'Sheet1'!$L$16"}</definedName>
    <definedName name="_____h8" localSheetId="12" hidden="1">{"'Sheet1'!$L$16"}</definedName>
    <definedName name="_____h8" localSheetId="11" hidden="1">{"'Sheet1'!$L$16"}</definedName>
    <definedName name="_____h8" localSheetId="13" hidden="1">{"'Sheet1'!$L$16"}</definedName>
    <definedName name="_____h8" localSheetId="14" hidden="1">{"'Sheet1'!$L$16"}</definedName>
    <definedName name="_____h8" hidden="1">{"'Sheet1'!$L$16"}</definedName>
    <definedName name="_____h9" localSheetId="2" hidden="1">{"'Sheet1'!$L$16"}</definedName>
    <definedName name="_____h9" localSheetId="3" hidden="1">{"'Sheet1'!$L$16"}</definedName>
    <definedName name="_____h9" localSheetId="6" hidden="1">{"'Sheet1'!$L$16"}</definedName>
    <definedName name="_____h9" localSheetId="8" hidden="1">{"'Sheet1'!$L$16"}</definedName>
    <definedName name="_____h9" localSheetId="7" hidden="1">{"'Sheet1'!$L$16"}</definedName>
    <definedName name="_____h9" localSheetId="9" hidden="1">{"'Sheet1'!$L$16"}</definedName>
    <definedName name="_____h9" localSheetId="10" hidden="1">{"'Sheet1'!$L$16"}</definedName>
    <definedName name="_____h9" localSheetId="12" hidden="1">{"'Sheet1'!$L$16"}</definedName>
    <definedName name="_____h9" localSheetId="11" hidden="1">{"'Sheet1'!$L$16"}</definedName>
    <definedName name="_____h9" localSheetId="13" hidden="1">{"'Sheet1'!$L$16"}</definedName>
    <definedName name="_____h9" localSheetId="14" hidden="1">{"'Sheet1'!$L$16"}</definedName>
    <definedName name="_____h9" hidden="1">{"'Sheet1'!$L$16"}</definedName>
    <definedName name="_____NSO2" localSheetId="2" hidden="1">{"'Sheet1'!$L$16"}</definedName>
    <definedName name="_____NSO2" localSheetId="3" hidden="1">{"'Sheet1'!$L$16"}</definedName>
    <definedName name="_____NSO2" localSheetId="6" hidden="1">{"'Sheet1'!$L$16"}</definedName>
    <definedName name="_____NSO2" localSheetId="8" hidden="1">{"'Sheet1'!$L$16"}</definedName>
    <definedName name="_____NSO2" localSheetId="7" hidden="1">{"'Sheet1'!$L$16"}</definedName>
    <definedName name="_____NSO2" localSheetId="9" hidden="1">{"'Sheet1'!$L$16"}</definedName>
    <definedName name="_____NSO2" localSheetId="10" hidden="1">{"'Sheet1'!$L$16"}</definedName>
    <definedName name="_____NSO2" localSheetId="12" hidden="1">{"'Sheet1'!$L$16"}</definedName>
    <definedName name="_____NSO2" localSheetId="11" hidden="1">{"'Sheet1'!$L$16"}</definedName>
    <definedName name="_____NSO2" localSheetId="13" hidden="1">{"'Sheet1'!$L$16"}</definedName>
    <definedName name="_____NSO2" localSheetId="14" hidden="1">{"'Sheet1'!$L$16"}</definedName>
    <definedName name="_____NSO2" hidden="1">{"'Sheet1'!$L$16"}</definedName>
    <definedName name="_____PA3" localSheetId="2" hidden="1">{"'Sheet1'!$L$16"}</definedName>
    <definedName name="_____PA3" localSheetId="3" hidden="1">{"'Sheet1'!$L$16"}</definedName>
    <definedName name="_____PA3" localSheetId="6" hidden="1">{"'Sheet1'!$L$16"}</definedName>
    <definedName name="_____PA3" localSheetId="8" hidden="1">{"'Sheet1'!$L$16"}</definedName>
    <definedName name="_____PA3" localSheetId="7" hidden="1">{"'Sheet1'!$L$16"}</definedName>
    <definedName name="_____PA3" localSheetId="9" hidden="1">{"'Sheet1'!$L$16"}</definedName>
    <definedName name="_____PA3" localSheetId="10" hidden="1">{"'Sheet1'!$L$16"}</definedName>
    <definedName name="_____PA3" localSheetId="12" hidden="1">{"'Sheet1'!$L$16"}</definedName>
    <definedName name="_____PA3" localSheetId="11" hidden="1">{"'Sheet1'!$L$16"}</definedName>
    <definedName name="_____PA3" localSheetId="13" hidden="1">{"'Sheet1'!$L$16"}</definedName>
    <definedName name="_____PA3" localSheetId="14" hidden="1">{"'Sheet1'!$L$16"}</definedName>
    <definedName name="_____PA3" hidden="1">{"'Sheet1'!$L$16"}</definedName>
    <definedName name="_____vl2" localSheetId="2" hidden="1">{"'Sheet1'!$L$16"}</definedName>
    <definedName name="_____vl2" localSheetId="3" hidden="1">{"'Sheet1'!$L$16"}</definedName>
    <definedName name="_____vl2" localSheetId="6" hidden="1">{"'Sheet1'!$L$16"}</definedName>
    <definedName name="_____vl2" localSheetId="8" hidden="1">{"'Sheet1'!$L$16"}</definedName>
    <definedName name="_____vl2" localSheetId="7" hidden="1">{"'Sheet1'!$L$16"}</definedName>
    <definedName name="_____vl2" localSheetId="9" hidden="1">{"'Sheet1'!$L$16"}</definedName>
    <definedName name="_____vl2" localSheetId="10" hidden="1">{"'Sheet1'!$L$16"}</definedName>
    <definedName name="_____vl2" localSheetId="12" hidden="1">{"'Sheet1'!$L$16"}</definedName>
    <definedName name="_____vl2" localSheetId="11" hidden="1">{"'Sheet1'!$L$16"}</definedName>
    <definedName name="_____vl2" localSheetId="13" hidden="1">{"'Sheet1'!$L$16"}</definedName>
    <definedName name="_____vl2" localSheetId="14" hidden="1">{"'Sheet1'!$L$16"}</definedName>
    <definedName name="_____vl2" hidden="1">{"'Sheet1'!$L$16"}</definedName>
    <definedName name="____ban2" localSheetId="2" hidden="1">{"'Sheet1'!$L$16"}</definedName>
    <definedName name="____ban2" localSheetId="3" hidden="1">{"'Sheet1'!$L$16"}</definedName>
    <definedName name="____ban2" localSheetId="6" hidden="1">{"'Sheet1'!$L$16"}</definedName>
    <definedName name="____ban2" localSheetId="8" hidden="1">{"'Sheet1'!$L$16"}</definedName>
    <definedName name="____ban2" localSheetId="7" hidden="1">{"'Sheet1'!$L$16"}</definedName>
    <definedName name="____ban2" localSheetId="9" hidden="1">{"'Sheet1'!$L$16"}</definedName>
    <definedName name="____ban2" localSheetId="10" hidden="1">{"'Sheet1'!$L$16"}</definedName>
    <definedName name="____ban2" localSheetId="12" hidden="1">{"'Sheet1'!$L$16"}</definedName>
    <definedName name="____ban2" localSheetId="11" hidden="1">{"'Sheet1'!$L$16"}</definedName>
    <definedName name="____ban2" localSheetId="13" hidden="1">{"'Sheet1'!$L$16"}</definedName>
    <definedName name="____ban2" localSheetId="14" hidden="1">{"'Sheet1'!$L$16"}</definedName>
    <definedName name="____ban2" hidden="1">{"'Sheet1'!$L$16"}</definedName>
    <definedName name="____cep1" localSheetId="2" hidden="1">{"'Sheet1'!$L$16"}</definedName>
    <definedName name="____cep1" localSheetId="3" hidden="1">{"'Sheet1'!$L$16"}</definedName>
    <definedName name="____cep1" localSheetId="6" hidden="1">{"'Sheet1'!$L$16"}</definedName>
    <definedName name="____cep1" localSheetId="8" hidden="1">{"'Sheet1'!$L$16"}</definedName>
    <definedName name="____cep1" localSheetId="7" hidden="1">{"'Sheet1'!$L$16"}</definedName>
    <definedName name="____cep1" localSheetId="9" hidden="1">{"'Sheet1'!$L$16"}</definedName>
    <definedName name="____cep1" localSheetId="10" hidden="1">{"'Sheet1'!$L$16"}</definedName>
    <definedName name="____cep1" localSheetId="12" hidden="1">{"'Sheet1'!$L$16"}</definedName>
    <definedName name="____cep1" localSheetId="11" hidden="1">{"'Sheet1'!$L$16"}</definedName>
    <definedName name="____cep1" localSheetId="13" hidden="1">{"'Sheet1'!$L$16"}</definedName>
    <definedName name="____cep1" localSheetId="14" hidden="1">{"'Sheet1'!$L$16"}</definedName>
    <definedName name="____cep1" hidden="1">{"'Sheet1'!$L$16"}</definedName>
    <definedName name="____Coc39" localSheetId="2" hidden="1">{"'Sheet1'!$L$16"}</definedName>
    <definedName name="____Coc39" localSheetId="3" hidden="1">{"'Sheet1'!$L$16"}</definedName>
    <definedName name="____Coc39" localSheetId="6" hidden="1">{"'Sheet1'!$L$16"}</definedName>
    <definedName name="____Coc39" localSheetId="8" hidden="1">{"'Sheet1'!$L$16"}</definedName>
    <definedName name="____Coc39" localSheetId="7" hidden="1">{"'Sheet1'!$L$16"}</definedName>
    <definedName name="____Coc39" localSheetId="9" hidden="1">{"'Sheet1'!$L$16"}</definedName>
    <definedName name="____Coc39" localSheetId="10" hidden="1">{"'Sheet1'!$L$16"}</definedName>
    <definedName name="____Coc39" localSheetId="12" hidden="1">{"'Sheet1'!$L$16"}</definedName>
    <definedName name="____Coc39" localSheetId="11" hidden="1">{"'Sheet1'!$L$16"}</definedName>
    <definedName name="____Coc39" localSheetId="13" hidden="1">{"'Sheet1'!$L$16"}</definedName>
    <definedName name="____Coc39" localSheetId="14" hidden="1">{"'Sheet1'!$L$16"}</definedName>
    <definedName name="____Coc39" hidden="1">{"'Sheet1'!$L$16"}</definedName>
    <definedName name="____Goi8" localSheetId="2" hidden="1">{"'Sheet1'!$L$16"}</definedName>
    <definedName name="____Goi8" localSheetId="3" hidden="1">{"'Sheet1'!$L$16"}</definedName>
    <definedName name="____Goi8" localSheetId="6" hidden="1">{"'Sheet1'!$L$16"}</definedName>
    <definedName name="____Goi8" localSheetId="8" hidden="1">{"'Sheet1'!$L$16"}</definedName>
    <definedName name="____Goi8" localSheetId="7" hidden="1">{"'Sheet1'!$L$16"}</definedName>
    <definedName name="____Goi8" localSheetId="9" hidden="1">{"'Sheet1'!$L$16"}</definedName>
    <definedName name="____Goi8" localSheetId="10" hidden="1">{"'Sheet1'!$L$16"}</definedName>
    <definedName name="____Goi8" localSheetId="12" hidden="1">{"'Sheet1'!$L$16"}</definedName>
    <definedName name="____Goi8" localSheetId="11" hidden="1">{"'Sheet1'!$L$16"}</definedName>
    <definedName name="____Goi8" localSheetId="13" hidden="1">{"'Sheet1'!$L$16"}</definedName>
    <definedName name="____Goi8" localSheetId="14" hidden="1">{"'Sheet1'!$L$16"}</definedName>
    <definedName name="____Goi8" hidden="1">{"'Sheet1'!$L$16"}</definedName>
    <definedName name="____h1" localSheetId="2" hidden="1">{"'Sheet1'!$L$16"}</definedName>
    <definedName name="____h1" localSheetId="3" hidden="1">{"'Sheet1'!$L$16"}</definedName>
    <definedName name="____h1" localSheetId="6" hidden="1">{"'Sheet1'!$L$16"}</definedName>
    <definedName name="____h1" localSheetId="8" hidden="1">{"'Sheet1'!$L$16"}</definedName>
    <definedName name="____h1" localSheetId="7" hidden="1">{"'Sheet1'!$L$16"}</definedName>
    <definedName name="____h1" localSheetId="9" hidden="1">{"'Sheet1'!$L$16"}</definedName>
    <definedName name="____h1" localSheetId="10" hidden="1">{"'Sheet1'!$L$16"}</definedName>
    <definedName name="____h1" localSheetId="12" hidden="1">{"'Sheet1'!$L$16"}</definedName>
    <definedName name="____h1" localSheetId="11" hidden="1">{"'Sheet1'!$L$16"}</definedName>
    <definedName name="____h1" localSheetId="13" hidden="1">{"'Sheet1'!$L$16"}</definedName>
    <definedName name="____h1" localSheetId="14" hidden="1">{"'Sheet1'!$L$16"}</definedName>
    <definedName name="____h1" hidden="1">{"'Sheet1'!$L$16"}</definedName>
    <definedName name="____h10" localSheetId="2" hidden="1">{#N/A,#N/A,FALSE,"Chi tiÆt"}</definedName>
    <definedName name="____h10" localSheetId="3" hidden="1">{#N/A,#N/A,FALSE,"Chi tiÆt"}</definedName>
    <definedName name="____h10" localSheetId="6" hidden="1">{#N/A,#N/A,FALSE,"Chi tiÆt"}</definedName>
    <definedName name="____h10" localSheetId="8" hidden="1">{#N/A,#N/A,FALSE,"Chi tiÆt"}</definedName>
    <definedName name="____h10" localSheetId="7" hidden="1">{#N/A,#N/A,FALSE,"Chi tiÆt"}</definedName>
    <definedName name="____h10" localSheetId="9" hidden="1">{#N/A,#N/A,FALSE,"Chi tiÆt"}</definedName>
    <definedName name="____h10" localSheetId="10" hidden="1">{#N/A,#N/A,FALSE,"Chi tiÆt"}</definedName>
    <definedName name="____h10" localSheetId="12" hidden="1">{#N/A,#N/A,FALSE,"Chi tiÆt"}</definedName>
    <definedName name="____h10" localSheetId="11" hidden="1">{#N/A,#N/A,FALSE,"Chi tiÆt"}</definedName>
    <definedName name="____h10" localSheetId="13" hidden="1">{#N/A,#N/A,FALSE,"Chi tiÆt"}</definedName>
    <definedName name="____h10" localSheetId="14" hidden="1">{#N/A,#N/A,FALSE,"Chi tiÆt"}</definedName>
    <definedName name="____h10" hidden="1">{#N/A,#N/A,FALSE,"Chi tiÆt"}</definedName>
    <definedName name="____h2" localSheetId="2" hidden="1">{"'Sheet1'!$L$16"}</definedName>
    <definedName name="____h2" localSheetId="3" hidden="1">{"'Sheet1'!$L$16"}</definedName>
    <definedName name="____h2" localSheetId="6" hidden="1">{"'Sheet1'!$L$16"}</definedName>
    <definedName name="____h2" localSheetId="8" hidden="1">{"'Sheet1'!$L$16"}</definedName>
    <definedName name="____h2" localSheetId="7" hidden="1">{"'Sheet1'!$L$16"}</definedName>
    <definedName name="____h2" localSheetId="9" hidden="1">{"'Sheet1'!$L$16"}</definedName>
    <definedName name="____h2" localSheetId="10" hidden="1">{"'Sheet1'!$L$16"}</definedName>
    <definedName name="____h2" localSheetId="12" hidden="1">{"'Sheet1'!$L$16"}</definedName>
    <definedName name="____h2" localSheetId="11" hidden="1">{"'Sheet1'!$L$16"}</definedName>
    <definedName name="____h2" localSheetId="13" hidden="1">{"'Sheet1'!$L$16"}</definedName>
    <definedName name="____h2" localSheetId="14" hidden="1">{"'Sheet1'!$L$16"}</definedName>
    <definedName name="____h2" hidden="1">{"'Sheet1'!$L$16"}</definedName>
    <definedName name="____h3" localSheetId="2" hidden="1">{"'Sheet1'!$L$16"}</definedName>
    <definedName name="____h3" localSheetId="3" hidden="1">{"'Sheet1'!$L$16"}</definedName>
    <definedName name="____h3" localSheetId="6" hidden="1">{"'Sheet1'!$L$16"}</definedName>
    <definedName name="____h3" localSheetId="8" hidden="1">{"'Sheet1'!$L$16"}</definedName>
    <definedName name="____h3" localSheetId="7" hidden="1">{"'Sheet1'!$L$16"}</definedName>
    <definedName name="____h3" localSheetId="9" hidden="1">{"'Sheet1'!$L$16"}</definedName>
    <definedName name="____h3" localSheetId="10" hidden="1">{"'Sheet1'!$L$16"}</definedName>
    <definedName name="____h3" localSheetId="12" hidden="1">{"'Sheet1'!$L$16"}</definedName>
    <definedName name="____h3" localSheetId="11" hidden="1">{"'Sheet1'!$L$16"}</definedName>
    <definedName name="____h3" localSheetId="13" hidden="1">{"'Sheet1'!$L$16"}</definedName>
    <definedName name="____h3" localSheetId="14" hidden="1">{"'Sheet1'!$L$16"}</definedName>
    <definedName name="____h3" hidden="1">{"'Sheet1'!$L$16"}</definedName>
    <definedName name="____h5" localSheetId="2" hidden="1">{"'Sheet1'!$L$16"}</definedName>
    <definedName name="____h5" localSheetId="3" hidden="1">{"'Sheet1'!$L$16"}</definedName>
    <definedName name="____h5" localSheetId="6" hidden="1">{"'Sheet1'!$L$16"}</definedName>
    <definedName name="____h5" localSheetId="8" hidden="1">{"'Sheet1'!$L$16"}</definedName>
    <definedName name="____h5" localSheetId="7" hidden="1">{"'Sheet1'!$L$16"}</definedName>
    <definedName name="____h5" localSheetId="9" hidden="1">{"'Sheet1'!$L$16"}</definedName>
    <definedName name="____h5" localSheetId="10" hidden="1">{"'Sheet1'!$L$16"}</definedName>
    <definedName name="____h5" localSheetId="12" hidden="1">{"'Sheet1'!$L$16"}</definedName>
    <definedName name="____h5" localSheetId="11" hidden="1">{"'Sheet1'!$L$16"}</definedName>
    <definedName name="____h5" localSheetId="13" hidden="1">{"'Sheet1'!$L$16"}</definedName>
    <definedName name="____h5" localSheetId="14" hidden="1">{"'Sheet1'!$L$16"}</definedName>
    <definedName name="____h5" hidden="1">{"'Sheet1'!$L$16"}</definedName>
    <definedName name="____h6" localSheetId="2" hidden="1">{"'Sheet1'!$L$16"}</definedName>
    <definedName name="____h6" localSheetId="3" hidden="1">{"'Sheet1'!$L$16"}</definedName>
    <definedName name="____h6" localSheetId="6" hidden="1">{"'Sheet1'!$L$16"}</definedName>
    <definedName name="____h6" localSheetId="8" hidden="1">{"'Sheet1'!$L$16"}</definedName>
    <definedName name="____h6" localSheetId="7" hidden="1">{"'Sheet1'!$L$16"}</definedName>
    <definedName name="____h6" localSheetId="9" hidden="1">{"'Sheet1'!$L$16"}</definedName>
    <definedName name="____h6" localSheetId="10" hidden="1">{"'Sheet1'!$L$16"}</definedName>
    <definedName name="____h6" localSheetId="12" hidden="1">{"'Sheet1'!$L$16"}</definedName>
    <definedName name="____h6" localSheetId="11" hidden="1">{"'Sheet1'!$L$16"}</definedName>
    <definedName name="____h6" localSheetId="13" hidden="1">{"'Sheet1'!$L$16"}</definedName>
    <definedName name="____h6" localSheetId="14" hidden="1">{"'Sheet1'!$L$16"}</definedName>
    <definedName name="____h6" hidden="1">{"'Sheet1'!$L$16"}</definedName>
    <definedName name="____h7" localSheetId="2" hidden="1">{"'Sheet1'!$L$16"}</definedName>
    <definedName name="____h7" localSheetId="3" hidden="1">{"'Sheet1'!$L$16"}</definedName>
    <definedName name="____h7" localSheetId="6" hidden="1">{"'Sheet1'!$L$16"}</definedName>
    <definedName name="____h7" localSheetId="8" hidden="1">{"'Sheet1'!$L$16"}</definedName>
    <definedName name="____h7" localSheetId="7" hidden="1">{"'Sheet1'!$L$16"}</definedName>
    <definedName name="____h7" localSheetId="9" hidden="1">{"'Sheet1'!$L$16"}</definedName>
    <definedName name="____h7" localSheetId="10" hidden="1">{"'Sheet1'!$L$16"}</definedName>
    <definedName name="____h7" localSheetId="12" hidden="1">{"'Sheet1'!$L$16"}</definedName>
    <definedName name="____h7" localSheetId="11" hidden="1">{"'Sheet1'!$L$16"}</definedName>
    <definedName name="____h7" localSheetId="13" hidden="1">{"'Sheet1'!$L$16"}</definedName>
    <definedName name="____h7" localSheetId="14" hidden="1">{"'Sheet1'!$L$16"}</definedName>
    <definedName name="____h7" hidden="1">{"'Sheet1'!$L$16"}</definedName>
    <definedName name="____h8" localSheetId="2" hidden="1">{"'Sheet1'!$L$16"}</definedName>
    <definedName name="____h8" localSheetId="3" hidden="1">{"'Sheet1'!$L$16"}</definedName>
    <definedName name="____h8" localSheetId="6" hidden="1">{"'Sheet1'!$L$16"}</definedName>
    <definedName name="____h8" localSheetId="8" hidden="1">{"'Sheet1'!$L$16"}</definedName>
    <definedName name="____h8" localSheetId="7" hidden="1">{"'Sheet1'!$L$16"}</definedName>
    <definedName name="____h8" localSheetId="9" hidden="1">{"'Sheet1'!$L$16"}</definedName>
    <definedName name="____h8" localSheetId="10" hidden="1">{"'Sheet1'!$L$16"}</definedName>
    <definedName name="____h8" localSheetId="12" hidden="1">{"'Sheet1'!$L$16"}</definedName>
    <definedName name="____h8" localSheetId="11" hidden="1">{"'Sheet1'!$L$16"}</definedName>
    <definedName name="____h8" localSheetId="13" hidden="1">{"'Sheet1'!$L$16"}</definedName>
    <definedName name="____h8" localSheetId="14" hidden="1">{"'Sheet1'!$L$16"}</definedName>
    <definedName name="____h8" hidden="1">{"'Sheet1'!$L$16"}</definedName>
    <definedName name="____h9" localSheetId="2" hidden="1">{"'Sheet1'!$L$16"}</definedName>
    <definedName name="____h9" localSheetId="3" hidden="1">{"'Sheet1'!$L$16"}</definedName>
    <definedName name="____h9" localSheetId="6" hidden="1">{"'Sheet1'!$L$16"}</definedName>
    <definedName name="____h9" localSheetId="8" hidden="1">{"'Sheet1'!$L$16"}</definedName>
    <definedName name="____h9" localSheetId="7" hidden="1">{"'Sheet1'!$L$16"}</definedName>
    <definedName name="____h9" localSheetId="9" hidden="1">{"'Sheet1'!$L$16"}</definedName>
    <definedName name="____h9" localSheetId="10" hidden="1">{"'Sheet1'!$L$16"}</definedName>
    <definedName name="____h9" localSheetId="12" hidden="1">{"'Sheet1'!$L$16"}</definedName>
    <definedName name="____h9" localSheetId="11" hidden="1">{"'Sheet1'!$L$16"}</definedName>
    <definedName name="____h9" localSheetId="13" hidden="1">{"'Sheet1'!$L$16"}</definedName>
    <definedName name="____h9" localSheetId="14" hidden="1">{"'Sheet1'!$L$16"}</definedName>
    <definedName name="____h9" hidden="1">{"'Sheet1'!$L$16"}</definedName>
    <definedName name="____HUY1" localSheetId="2" hidden="1">{"'Sheet1'!$L$16"}</definedName>
    <definedName name="____HUY1" localSheetId="3" hidden="1">{"'Sheet1'!$L$16"}</definedName>
    <definedName name="____HUY1" localSheetId="6" hidden="1">{"'Sheet1'!$L$16"}</definedName>
    <definedName name="____HUY1" localSheetId="8" hidden="1">{"'Sheet1'!$L$16"}</definedName>
    <definedName name="____HUY1" localSheetId="7" hidden="1">{"'Sheet1'!$L$16"}</definedName>
    <definedName name="____HUY1" localSheetId="9" hidden="1">{"'Sheet1'!$L$16"}</definedName>
    <definedName name="____HUY1" localSheetId="10" hidden="1">{"'Sheet1'!$L$16"}</definedName>
    <definedName name="____HUY1" localSheetId="12" hidden="1">{"'Sheet1'!$L$16"}</definedName>
    <definedName name="____HUY1" localSheetId="11" hidden="1">{"'Sheet1'!$L$16"}</definedName>
    <definedName name="____HUY1" localSheetId="13" hidden="1">{"'Sheet1'!$L$16"}</definedName>
    <definedName name="____HUY1" localSheetId="14" hidden="1">{"'Sheet1'!$L$16"}</definedName>
    <definedName name="____HUY1" hidden="1">{"'Sheet1'!$L$16"}</definedName>
    <definedName name="____HUY2" localSheetId="2" hidden="1">{"'Sheet1'!$L$16"}</definedName>
    <definedName name="____HUY2" localSheetId="3" hidden="1">{"'Sheet1'!$L$16"}</definedName>
    <definedName name="____HUY2" localSheetId="6" hidden="1">{"'Sheet1'!$L$16"}</definedName>
    <definedName name="____HUY2" localSheetId="8" hidden="1">{"'Sheet1'!$L$16"}</definedName>
    <definedName name="____HUY2" localSheetId="7" hidden="1">{"'Sheet1'!$L$16"}</definedName>
    <definedName name="____HUY2" localSheetId="9" hidden="1">{"'Sheet1'!$L$16"}</definedName>
    <definedName name="____HUY2" localSheetId="10" hidden="1">{"'Sheet1'!$L$16"}</definedName>
    <definedName name="____HUY2" localSheetId="12" hidden="1">{"'Sheet1'!$L$16"}</definedName>
    <definedName name="____HUY2" localSheetId="11" hidden="1">{"'Sheet1'!$L$16"}</definedName>
    <definedName name="____HUY2" localSheetId="13" hidden="1">{"'Sheet1'!$L$16"}</definedName>
    <definedName name="____HUY2" localSheetId="14" hidden="1">{"'Sheet1'!$L$16"}</definedName>
    <definedName name="____HUY2" hidden="1">{"'Sheet1'!$L$16"}</definedName>
    <definedName name="____Lan1" localSheetId="2" hidden="1">{"'Sheet1'!$L$16"}</definedName>
    <definedName name="____Lan1" localSheetId="3" hidden="1">{"'Sheet1'!$L$16"}</definedName>
    <definedName name="____Lan1" localSheetId="6" hidden="1">{"'Sheet1'!$L$16"}</definedName>
    <definedName name="____Lan1" localSheetId="8" hidden="1">{"'Sheet1'!$L$16"}</definedName>
    <definedName name="____Lan1" localSheetId="7" hidden="1">{"'Sheet1'!$L$16"}</definedName>
    <definedName name="____Lan1" localSheetId="9" hidden="1">{"'Sheet1'!$L$16"}</definedName>
    <definedName name="____Lan1" localSheetId="10" hidden="1">{"'Sheet1'!$L$16"}</definedName>
    <definedName name="____Lan1" localSheetId="12" hidden="1">{"'Sheet1'!$L$16"}</definedName>
    <definedName name="____Lan1" localSheetId="11" hidden="1">{"'Sheet1'!$L$16"}</definedName>
    <definedName name="____Lan1" localSheetId="13" hidden="1">{"'Sheet1'!$L$16"}</definedName>
    <definedName name="____Lan1" localSheetId="14" hidden="1">{"'Sheet1'!$L$16"}</definedName>
    <definedName name="____Lan1" hidden="1">{"'Sheet1'!$L$16"}</definedName>
    <definedName name="____LAN3" localSheetId="2" hidden="1">{"'Sheet1'!$L$16"}</definedName>
    <definedName name="____LAN3" localSheetId="3" hidden="1">{"'Sheet1'!$L$16"}</definedName>
    <definedName name="____LAN3" localSheetId="6" hidden="1">{"'Sheet1'!$L$16"}</definedName>
    <definedName name="____LAN3" localSheetId="8" hidden="1">{"'Sheet1'!$L$16"}</definedName>
    <definedName name="____LAN3" localSheetId="7" hidden="1">{"'Sheet1'!$L$16"}</definedName>
    <definedName name="____LAN3" localSheetId="9" hidden="1">{"'Sheet1'!$L$16"}</definedName>
    <definedName name="____LAN3" localSheetId="10" hidden="1">{"'Sheet1'!$L$16"}</definedName>
    <definedName name="____LAN3" localSheetId="12" hidden="1">{"'Sheet1'!$L$16"}</definedName>
    <definedName name="____LAN3" localSheetId="11" hidden="1">{"'Sheet1'!$L$16"}</definedName>
    <definedName name="____LAN3" localSheetId="13" hidden="1">{"'Sheet1'!$L$16"}</definedName>
    <definedName name="____LAN3" localSheetId="14" hidden="1">{"'Sheet1'!$L$16"}</definedName>
    <definedName name="____LAN3" hidden="1">{"'Sheet1'!$L$16"}</definedName>
    <definedName name="____lk2" localSheetId="2" hidden="1">{"'Sheet1'!$L$16"}</definedName>
    <definedName name="____lk2" localSheetId="3" hidden="1">{"'Sheet1'!$L$16"}</definedName>
    <definedName name="____lk2" localSheetId="6" hidden="1">{"'Sheet1'!$L$16"}</definedName>
    <definedName name="____lk2" localSheetId="8" hidden="1">{"'Sheet1'!$L$16"}</definedName>
    <definedName name="____lk2" localSheetId="7" hidden="1">{"'Sheet1'!$L$16"}</definedName>
    <definedName name="____lk2" localSheetId="9" hidden="1">{"'Sheet1'!$L$16"}</definedName>
    <definedName name="____lk2" localSheetId="10" hidden="1">{"'Sheet1'!$L$16"}</definedName>
    <definedName name="____lk2" localSheetId="12" hidden="1">{"'Sheet1'!$L$16"}</definedName>
    <definedName name="____lk2" localSheetId="11" hidden="1">{"'Sheet1'!$L$16"}</definedName>
    <definedName name="____lk2" localSheetId="13" hidden="1">{"'Sheet1'!$L$16"}</definedName>
    <definedName name="____lk2" localSheetId="14" hidden="1">{"'Sheet1'!$L$16"}</definedName>
    <definedName name="____lk2" hidden="1">{"'Sheet1'!$L$16"}</definedName>
    <definedName name="____NSO2" localSheetId="2" hidden="1">{"'Sheet1'!$L$16"}</definedName>
    <definedName name="____NSO2" localSheetId="3" hidden="1">{"'Sheet1'!$L$16"}</definedName>
    <definedName name="____NSO2" localSheetId="6" hidden="1">{"'Sheet1'!$L$16"}</definedName>
    <definedName name="____NSO2" localSheetId="8" hidden="1">{"'Sheet1'!$L$16"}</definedName>
    <definedName name="____NSO2" localSheetId="7" hidden="1">{"'Sheet1'!$L$16"}</definedName>
    <definedName name="____NSO2" localSheetId="9" hidden="1">{"'Sheet1'!$L$16"}</definedName>
    <definedName name="____NSO2" localSheetId="10" hidden="1">{"'Sheet1'!$L$16"}</definedName>
    <definedName name="____NSO2" localSheetId="12" hidden="1">{"'Sheet1'!$L$16"}</definedName>
    <definedName name="____NSO2" localSheetId="11" hidden="1">{"'Sheet1'!$L$16"}</definedName>
    <definedName name="____NSO2" localSheetId="13" hidden="1">{"'Sheet1'!$L$16"}</definedName>
    <definedName name="____NSO2" localSheetId="14" hidden="1">{"'Sheet1'!$L$16"}</definedName>
    <definedName name="____NSO2" hidden="1">{"'Sheet1'!$L$16"}</definedName>
    <definedName name="____PA3" localSheetId="2" hidden="1">{"'Sheet1'!$L$16"}</definedName>
    <definedName name="____PA3" localSheetId="3" hidden="1">{"'Sheet1'!$L$16"}</definedName>
    <definedName name="____PA3" localSheetId="6" hidden="1">{"'Sheet1'!$L$16"}</definedName>
    <definedName name="____PA3" localSheetId="8" hidden="1">{"'Sheet1'!$L$16"}</definedName>
    <definedName name="____PA3" localSheetId="7" hidden="1">{"'Sheet1'!$L$16"}</definedName>
    <definedName name="____PA3" localSheetId="9" hidden="1">{"'Sheet1'!$L$16"}</definedName>
    <definedName name="____PA3" localSheetId="10" hidden="1">{"'Sheet1'!$L$16"}</definedName>
    <definedName name="____PA3" localSheetId="12" hidden="1">{"'Sheet1'!$L$16"}</definedName>
    <definedName name="____PA3" localSheetId="11" hidden="1">{"'Sheet1'!$L$16"}</definedName>
    <definedName name="____PA3" localSheetId="13" hidden="1">{"'Sheet1'!$L$16"}</definedName>
    <definedName name="____PA3" localSheetId="14" hidden="1">{"'Sheet1'!$L$16"}</definedName>
    <definedName name="____PA3" hidden="1">{"'Sheet1'!$L$16"}</definedName>
    <definedName name="____Pl2" localSheetId="2" hidden="1">{"'Sheet1'!$L$16"}</definedName>
    <definedName name="____Pl2" localSheetId="3" hidden="1">{"'Sheet1'!$L$16"}</definedName>
    <definedName name="____Pl2" localSheetId="6" hidden="1">{"'Sheet1'!$L$16"}</definedName>
    <definedName name="____Pl2" localSheetId="8" hidden="1">{"'Sheet1'!$L$16"}</definedName>
    <definedName name="____Pl2" localSheetId="7" hidden="1">{"'Sheet1'!$L$16"}</definedName>
    <definedName name="____Pl2" localSheetId="9" hidden="1">{"'Sheet1'!$L$16"}</definedName>
    <definedName name="____Pl2" localSheetId="10" hidden="1">{"'Sheet1'!$L$16"}</definedName>
    <definedName name="____Pl2" localSheetId="12" hidden="1">{"'Sheet1'!$L$16"}</definedName>
    <definedName name="____Pl2" localSheetId="11" hidden="1">{"'Sheet1'!$L$16"}</definedName>
    <definedName name="____Pl2" localSheetId="13" hidden="1">{"'Sheet1'!$L$16"}</definedName>
    <definedName name="____Pl2" localSheetId="14" hidden="1">{"'Sheet1'!$L$16"}</definedName>
    <definedName name="____Pl2" hidden="1">{"'Sheet1'!$L$16"}</definedName>
    <definedName name="____Tru21" localSheetId="2" hidden="1">{"'Sheet1'!$L$16"}</definedName>
    <definedName name="____Tru21" localSheetId="3" hidden="1">{"'Sheet1'!$L$16"}</definedName>
    <definedName name="____Tru21" localSheetId="6" hidden="1">{"'Sheet1'!$L$16"}</definedName>
    <definedName name="____Tru21" localSheetId="8" hidden="1">{"'Sheet1'!$L$16"}</definedName>
    <definedName name="____Tru21" localSheetId="7" hidden="1">{"'Sheet1'!$L$16"}</definedName>
    <definedName name="____Tru21" localSheetId="9" hidden="1">{"'Sheet1'!$L$16"}</definedName>
    <definedName name="____Tru21" localSheetId="10" hidden="1">{"'Sheet1'!$L$16"}</definedName>
    <definedName name="____Tru21" localSheetId="12" hidden="1">{"'Sheet1'!$L$16"}</definedName>
    <definedName name="____Tru21" localSheetId="11" hidden="1">{"'Sheet1'!$L$16"}</definedName>
    <definedName name="____Tru21" localSheetId="13" hidden="1">{"'Sheet1'!$L$16"}</definedName>
    <definedName name="____Tru21" localSheetId="14" hidden="1">{"'Sheet1'!$L$16"}</definedName>
    <definedName name="____Tru21" hidden="1">{"'Sheet1'!$L$16"}</definedName>
    <definedName name="____tt3" localSheetId="2" hidden="1">{"'Sheet1'!$L$16"}</definedName>
    <definedName name="____tt3" localSheetId="3" hidden="1">{"'Sheet1'!$L$16"}</definedName>
    <definedName name="____tt3" localSheetId="6" hidden="1">{"'Sheet1'!$L$16"}</definedName>
    <definedName name="____tt3" localSheetId="8" hidden="1">{"'Sheet1'!$L$16"}</definedName>
    <definedName name="____tt3" localSheetId="7" hidden="1">{"'Sheet1'!$L$16"}</definedName>
    <definedName name="____tt3" localSheetId="9" hidden="1">{"'Sheet1'!$L$16"}</definedName>
    <definedName name="____tt3" localSheetId="10" hidden="1">{"'Sheet1'!$L$16"}</definedName>
    <definedName name="____tt3" localSheetId="12" hidden="1">{"'Sheet1'!$L$16"}</definedName>
    <definedName name="____tt3" localSheetId="11" hidden="1">{"'Sheet1'!$L$16"}</definedName>
    <definedName name="____tt3" localSheetId="13" hidden="1">{"'Sheet1'!$L$16"}</definedName>
    <definedName name="____tt3" localSheetId="14" hidden="1">{"'Sheet1'!$L$16"}</definedName>
    <definedName name="____tt3" hidden="1">{"'Sheet1'!$L$16"}</definedName>
    <definedName name="____TT31" localSheetId="2" hidden="1">{"'Sheet1'!$L$16"}</definedName>
    <definedName name="____TT31" localSheetId="3" hidden="1">{"'Sheet1'!$L$16"}</definedName>
    <definedName name="____TT31" localSheetId="6" hidden="1">{"'Sheet1'!$L$16"}</definedName>
    <definedName name="____TT31" localSheetId="8" hidden="1">{"'Sheet1'!$L$16"}</definedName>
    <definedName name="____TT31" localSheetId="7" hidden="1">{"'Sheet1'!$L$16"}</definedName>
    <definedName name="____TT31" localSheetId="9" hidden="1">{"'Sheet1'!$L$16"}</definedName>
    <definedName name="____TT31" localSheetId="10" hidden="1">{"'Sheet1'!$L$16"}</definedName>
    <definedName name="____TT31" localSheetId="12" hidden="1">{"'Sheet1'!$L$16"}</definedName>
    <definedName name="____TT31" localSheetId="11" hidden="1">{"'Sheet1'!$L$16"}</definedName>
    <definedName name="____TT31" localSheetId="13" hidden="1">{"'Sheet1'!$L$16"}</definedName>
    <definedName name="____TT31" localSheetId="14" hidden="1">{"'Sheet1'!$L$16"}</definedName>
    <definedName name="____TT31" hidden="1">{"'Sheet1'!$L$16"}</definedName>
    <definedName name="____vl2" localSheetId="2" hidden="1">{"'Sheet1'!$L$16"}</definedName>
    <definedName name="____vl2" localSheetId="3" hidden="1">{"'Sheet1'!$L$16"}</definedName>
    <definedName name="____vl2" localSheetId="6" hidden="1">{"'Sheet1'!$L$16"}</definedName>
    <definedName name="____vl2" localSheetId="8" hidden="1">{"'Sheet1'!$L$16"}</definedName>
    <definedName name="____vl2" localSheetId="7" hidden="1">{"'Sheet1'!$L$16"}</definedName>
    <definedName name="____vl2" localSheetId="9" hidden="1">{"'Sheet1'!$L$16"}</definedName>
    <definedName name="____vl2" localSheetId="10" hidden="1">{"'Sheet1'!$L$16"}</definedName>
    <definedName name="____vl2" localSheetId="12" hidden="1">{"'Sheet1'!$L$16"}</definedName>
    <definedName name="____vl2" localSheetId="11" hidden="1">{"'Sheet1'!$L$16"}</definedName>
    <definedName name="____vl2" localSheetId="13" hidden="1">{"'Sheet1'!$L$16"}</definedName>
    <definedName name="____vl2" localSheetId="14" hidden="1">{"'Sheet1'!$L$16"}</definedName>
    <definedName name="____vl2" hidden="1">{"'Sheet1'!$L$16"}</definedName>
    <definedName name="____VM2" localSheetId="2" hidden="1">{"'Sheet1'!$L$16"}</definedName>
    <definedName name="____VM2" localSheetId="3" hidden="1">{"'Sheet1'!$L$16"}</definedName>
    <definedName name="____VM2" localSheetId="6" hidden="1">{"'Sheet1'!$L$16"}</definedName>
    <definedName name="____VM2" localSheetId="8" hidden="1">{"'Sheet1'!$L$16"}</definedName>
    <definedName name="____VM2" localSheetId="7" hidden="1">{"'Sheet1'!$L$16"}</definedName>
    <definedName name="____VM2" localSheetId="9" hidden="1">{"'Sheet1'!$L$16"}</definedName>
    <definedName name="____VM2" localSheetId="10" hidden="1">{"'Sheet1'!$L$16"}</definedName>
    <definedName name="____VM2" localSheetId="12" hidden="1">{"'Sheet1'!$L$16"}</definedName>
    <definedName name="____VM2" localSheetId="11" hidden="1">{"'Sheet1'!$L$16"}</definedName>
    <definedName name="____VM2" localSheetId="13" hidden="1">{"'Sheet1'!$L$16"}</definedName>
    <definedName name="____VM2" localSheetId="14" hidden="1">{"'Sheet1'!$L$16"}</definedName>
    <definedName name="____VM2" hidden="1">{"'Sheet1'!$L$16"}</definedName>
    <definedName name="___a1" localSheetId="2" hidden="1">{"'Sheet1'!$L$16"}</definedName>
    <definedName name="___a1" localSheetId="3" hidden="1">{"'Sheet1'!$L$16"}</definedName>
    <definedName name="___a1" localSheetId="6" hidden="1">{"'Sheet1'!$L$16"}</definedName>
    <definedName name="___a1" localSheetId="8" hidden="1">{"'Sheet1'!$L$16"}</definedName>
    <definedName name="___a1" localSheetId="7" hidden="1">{"'Sheet1'!$L$16"}</definedName>
    <definedName name="___a1" localSheetId="9" hidden="1">{"'Sheet1'!$L$16"}</definedName>
    <definedName name="___a1" localSheetId="10" hidden="1">{"'Sheet1'!$L$16"}</definedName>
    <definedName name="___a1" localSheetId="12" hidden="1">{"'Sheet1'!$L$16"}</definedName>
    <definedName name="___a1" localSheetId="11" hidden="1">{"'Sheet1'!$L$16"}</definedName>
    <definedName name="___a1" localSheetId="13" hidden="1">{"'Sheet1'!$L$16"}</definedName>
    <definedName name="___a1" localSheetId="14" hidden="1">{"'Sheet1'!$L$16"}</definedName>
    <definedName name="___a1" hidden="1">{"'Sheet1'!$L$16"}</definedName>
    <definedName name="___ban2" localSheetId="2" hidden="1">{"'Sheet1'!$L$16"}</definedName>
    <definedName name="___ban2" localSheetId="3" hidden="1">{"'Sheet1'!$L$16"}</definedName>
    <definedName name="___ban2" localSheetId="6" hidden="1">{"'Sheet1'!$L$16"}</definedName>
    <definedName name="___ban2" localSheetId="8" hidden="1">{"'Sheet1'!$L$16"}</definedName>
    <definedName name="___ban2" localSheetId="7" hidden="1">{"'Sheet1'!$L$16"}</definedName>
    <definedName name="___ban2" localSheetId="9" hidden="1">{"'Sheet1'!$L$16"}</definedName>
    <definedName name="___ban2" localSheetId="10" hidden="1">{"'Sheet1'!$L$16"}</definedName>
    <definedName name="___ban2" localSheetId="12" hidden="1">{"'Sheet1'!$L$16"}</definedName>
    <definedName name="___ban2" localSheetId="11" hidden="1">{"'Sheet1'!$L$16"}</definedName>
    <definedName name="___ban2" localSheetId="13" hidden="1">{"'Sheet1'!$L$16"}</definedName>
    <definedName name="___ban2" localSheetId="14" hidden="1">{"'Sheet1'!$L$16"}</definedName>
    <definedName name="___ban2" hidden="1">{"'Sheet1'!$L$16"}</definedName>
    <definedName name="___cep1" localSheetId="2" hidden="1">{"'Sheet1'!$L$16"}</definedName>
    <definedName name="___cep1" localSheetId="3" hidden="1">{"'Sheet1'!$L$16"}</definedName>
    <definedName name="___cep1" localSheetId="6" hidden="1">{"'Sheet1'!$L$16"}</definedName>
    <definedName name="___cep1" localSheetId="8" hidden="1">{"'Sheet1'!$L$16"}</definedName>
    <definedName name="___cep1" localSheetId="7" hidden="1">{"'Sheet1'!$L$16"}</definedName>
    <definedName name="___cep1" localSheetId="9" hidden="1">{"'Sheet1'!$L$16"}</definedName>
    <definedName name="___cep1" localSheetId="10" hidden="1">{"'Sheet1'!$L$16"}</definedName>
    <definedName name="___cep1" localSheetId="12" hidden="1">{"'Sheet1'!$L$16"}</definedName>
    <definedName name="___cep1" localSheetId="11" hidden="1">{"'Sheet1'!$L$16"}</definedName>
    <definedName name="___cep1" localSheetId="13" hidden="1">{"'Sheet1'!$L$16"}</definedName>
    <definedName name="___cep1" localSheetId="14" hidden="1">{"'Sheet1'!$L$16"}</definedName>
    <definedName name="___cep1" hidden="1">{"'Sheet1'!$L$16"}</definedName>
    <definedName name="___Coc39" localSheetId="2" hidden="1">{"'Sheet1'!$L$16"}</definedName>
    <definedName name="___Coc39" localSheetId="3" hidden="1">{"'Sheet1'!$L$16"}</definedName>
    <definedName name="___Coc39" localSheetId="6" hidden="1">{"'Sheet1'!$L$16"}</definedName>
    <definedName name="___Coc39" localSheetId="8" hidden="1">{"'Sheet1'!$L$16"}</definedName>
    <definedName name="___Coc39" localSheetId="7" hidden="1">{"'Sheet1'!$L$16"}</definedName>
    <definedName name="___Coc39" localSheetId="9" hidden="1">{"'Sheet1'!$L$16"}</definedName>
    <definedName name="___Coc39" localSheetId="10" hidden="1">{"'Sheet1'!$L$16"}</definedName>
    <definedName name="___Coc39" localSheetId="12" hidden="1">{"'Sheet1'!$L$16"}</definedName>
    <definedName name="___Coc39" localSheetId="11" hidden="1">{"'Sheet1'!$L$16"}</definedName>
    <definedName name="___Coc39" localSheetId="13" hidden="1">{"'Sheet1'!$L$16"}</definedName>
    <definedName name="___Coc39" localSheetId="14" hidden="1">{"'Sheet1'!$L$16"}</definedName>
    <definedName name="___Coc39" hidden="1">{"'Sheet1'!$L$16"}</definedName>
    <definedName name="___Goi8" localSheetId="2" hidden="1">{"'Sheet1'!$L$16"}</definedName>
    <definedName name="___Goi8" localSheetId="3" hidden="1">{"'Sheet1'!$L$16"}</definedName>
    <definedName name="___Goi8" localSheetId="6" hidden="1">{"'Sheet1'!$L$16"}</definedName>
    <definedName name="___Goi8" localSheetId="8" hidden="1">{"'Sheet1'!$L$16"}</definedName>
    <definedName name="___Goi8" localSheetId="7" hidden="1">{"'Sheet1'!$L$16"}</definedName>
    <definedName name="___Goi8" localSheetId="9" hidden="1">{"'Sheet1'!$L$16"}</definedName>
    <definedName name="___Goi8" localSheetId="10" hidden="1">{"'Sheet1'!$L$16"}</definedName>
    <definedName name="___Goi8" localSheetId="12" hidden="1">{"'Sheet1'!$L$16"}</definedName>
    <definedName name="___Goi8" localSheetId="11" hidden="1">{"'Sheet1'!$L$16"}</definedName>
    <definedName name="___Goi8" localSheetId="13" hidden="1">{"'Sheet1'!$L$16"}</definedName>
    <definedName name="___Goi8" localSheetId="14" hidden="1">{"'Sheet1'!$L$16"}</definedName>
    <definedName name="___Goi8" hidden="1">{"'Sheet1'!$L$16"}</definedName>
    <definedName name="___h1" localSheetId="2" hidden="1">{"'Sheet1'!$L$16"}</definedName>
    <definedName name="___h1" localSheetId="3" hidden="1">{"'Sheet1'!$L$16"}</definedName>
    <definedName name="___h1" localSheetId="6" hidden="1">{"'Sheet1'!$L$16"}</definedName>
    <definedName name="___h1" localSheetId="8" hidden="1">{"'Sheet1'!$L$16"}</definedName>
    <definedName name="___h1" localSheetId="7" hidden="1">{"'Sheet1'!$L$16"}</definedName>
    <definedName name="___h1" localSheetId="9" hidden="1">{"'Sheet1'!$L$16"}</definedName>
    <definedName name="___h1" localSheetId="10" hidden="1">{"'Sheet1'!$L$16"}</definedName>
    <definedName name="___h1" localSheetId="12" hidden="1">{"'Sheet1'!$L$16"}</definedName>
    <definedName name="___h1" localSheetId="11" hidden="1">{"'Sheet1'!$L$16"}</definedName>
    <definedName name="___h1" localSheetId="13" hidden="1">{"'Sheet1'!$L$16"}</definedName>
    <definedName name="___h1" localSheetId="14" hidden="1">{"'Sheet1'!$L$16"}</definedName>
    <definedName name="___h1" hidden="1">{"'Sheet1'!$L$16"}</definedName>
    <definedName name="___h10" localSheetId="2" hidden="1">{#N/A,#N/A,FALSE,"Chi tiÆt"}</definedName>
    <definedName name="___h10" localSheetId="3" hidden="1">{#N/A,#N/A,FALSE,"Chi tiÆt"}</definedName>
    <definedName name="___h10" localSheetId="6" hidden="1">{#N/A,#N/A,FALSE,"Chi tiÆt"}</definedName>
    <definedName name="___h10" localSheetId="8" hidden="1">{#N/A,#N/A,FALSE,"Chi tiÆt"}</definedName>
    <definedName name="___h10" localSheetId="7" hidden="1">{#N/A,#N/A,FALSE,"Chi tiÆt"}</definedName>
    <definedName name="___h10" localSheetId="9" hidden="1">{#N/A,#N/A,FALSE,"Chi tiÆt"}</definedName>
    <definedName name="___h10" localSheetId="10" hidden="1">{#N/A,#N/A,FALSE,"Chi tiÆt"}</definedName>
    <definedName name="___h10" localSheetId="12" hidden="1">{#N/A,#N/A,FALSE,"Chi tiÆt"}</definedName>
    <definedName name="___h10" localSheetId="11" hidden="1">{#N/A,#N/A,FALSE,"Chi tiÆt"}</definedName>
    <definedName name="___h10" localSheetId="13" hidden="1">{#N/A,#N/A,FALSE,"Chi tiÆt"}</definedName>
    <definedName name="___h10" localSheetId="14" hidden="1">{#N/A,#N/A,FALSE,"Chi tiÆt"}</definedName>
    <definedName name="___h10" hidden="1">{#N/A,#N/A,FALSE,"Chi tiÆt"}</definedName>
    <definedName name="___h2" localSheetId="2" hidden="1">{"'Sheet1'!$L$16"}</definedName>
    <definedName name="___h2" localSheetId="3" hidden="1">{"'Sheet1'!$L$16"}</definedName>
    <definedName name="___h2" localSheetId="6" hidden="1">{"'Sheet1'!$L$16"}</definedName>
    <definedName name="___h2" localSheetId="8" hidden="1">{"'Sheet1'!$L$16"}</definedName>
    <definedName name="___h2" localSheetId="7" hidden="1">{"'Sheet1'!$L$16"}</definedName>
    <definedName name="___h2" localSheetId="9" hidden="1">{"'Sheet1'!$L$16"}</definedName>
    <definedName name="___h2" localSheetId="10" hidden="1">{"'Sheet1'!$L$16"}</definedName>
    <definedName name="___h2" localSheetId="12" hidden="1">{"'Sheet1'!$L$16"}</definedName>
    <definedName name="___h2" localSheetId="11" hidden="1">{"'Sheet1'!$L$16"}</definedName>
    <definedName name="___h2" localSheetId="13" hidden="1">{"'Sheet1'!$L$16"}</definedName>
    <definedName name="___h2" localSheetId="14" hidden="1">{"'Sheet1'!$L$16"}</definedName>
    <definedName name="___h2" hidden="1">{"'Sheet1'!$L$16"}</definedName>
    <definedName name="___h3" localSheetId="2" hidden="1">{"'Sheet1'!$L$16"}</definedName>
    <definedName name="___h3" localSheetId="3" hidden="1">{"'Sheet1'!$L$16"}</definedName>
    <definedName name="___h3" localSheetId="6" hidden="1">{"'Sheet1'!$L$16"}</definedName>
    <definedName name="___h3" localSheetId="8" hidden="1">{"'Sheet1'!$L$16"}</definedName>
    <definedName name="___h3" localSheetId="7" hidden="1">{"'Sheet1'!$L$16"}</definedName>
    <definedName name="___h3" localSheetId="9" hidden="1">{"'Sheet1'!$L$16"}</definedName>
    <definedName name="___h3" localSheetId="10" hidden="1">{"'Sheet1'!$L$16"}</definedName>
    <definedName name="___h3" localSheetId="12" hidden="1">{"'Sheet1'!$L$16"}</definedName>
    <definedName name="___h3" localSheetId="11" hidden="1">{"'Sheet1'!$L$16"}</definedName>
    <definedName name="___h3" localSheetId="13" hidden="1">{"'Sheet1'!$L$16"}</definedName>
    <definedName name="___h3" localSheetId="14" hidden="1">{"'Sheet1'!$L$16"}</definedName>
    <definedName name="___h3" hidden="1">{"'Sheet1'!$L$16"}</definedName>
    <definedName name="___h5" localSheetId="2" hidden="1">{"'Sheet1'!$L$16"}</definedName>
    <definedName name="___h5" localSheetId="3" hidden="1">{"'Sheet1'!$L$16"}</definedName>
    <definedName name="___h5" localSheetId="6" hidden="1">{"'Sheet1'!$L$16"}</definedName>
    <definedName name="___h5" localSheetId="8" hidden="1">{"'Sheet1'!$L$16"}</definedName>
    <definedName name="___h5" localSheetId="7" hidden="1">{"'Sheet1'!$L$16"}</definedName>
    <definedName name="___h5" localSheetId="9" hidden="1">{"'Sheet1'!$L$16"}</definedName>
    <definedName name="___h5" localSheetId="10" hidden="1">{"'Sheet1'!$L$16"}</definedName>
    <definedName name="___h5" localSheetId="12" hidden="1">{"'Sheet1'!$L$16"}</definedName>
    <definedName name="___h5" localSheetId="11" hidden="1">{"'Sheet1'!$L$16"}</definedName>
    <definedName name="___h5" localSheetId="13" hidden="1">{"'Sheet1'!$L$16"}</definedName>
    <definedName name="___h5" localSheetId="14" hidden="1">{"'Sheet1'!$L$16"}</definedName>
    <definedName name="___h5" hidden="1">{"'Sheet1'!$L$16"}</definedName>
    <definedName name="___h6" localSheetId="2" hidden="1">{"'Sheet1'!$L$16"}</definedName>
    <definedName name="___h6" localSheetId="3" hidden="1">{"'Sheet1'!$L$16"}</definedName>
    <definedName name="___h6" localSheetId="6" hidden="1">{"'Sheet1'!$L$16"}</definedName>
    <definedName name="___h6" localSheetId="8" hidden="1">{"'Sheet1'!$L$16"}</definedName>
    <definedName name="___h6" localSheetId="7" hidden="1">{"'Sheet1'!$L$16"}</definedName>
    <definedName name="___h6" localSheetId="9" hidden="1">{"'Sheet1'!$L$16"}</definedName>
    <definedName name="___h6" localSheetId="10" hidden="1">{"'Sheet1'!$L$16"}</definedName>
    <definedName name="___h6" localSheetId="12" hidden="1">{"'Sheet1'!$L$16"}</definedName>
    <definedName name="___h6" localSheetId="11" hidden="1">{"'Sheet1'!$L$16"}</definedName>
    <definedName name="___h6" localSheetId="13" hidden="1">{"'Sheet1'!$L$16"}</definedName>
    <definedName name="___h6" localSheetId="14" hidden="1">{"'Sheet1'!$L$16"}</definedName>
    <definedName name="___h6" hidden="1">{"'Sheet1'!$L$16"}</definedName>
    <definedName name="___h7" localSheetId="2" hidden="1">{"'Sheet1'!$L$16"}</definedName>
    <definedName name="___h7" localSheetId="3" hidden="1">{"'Sheet1'!$L$16"}</definedName>
    <definedName name="___h7" localSheetId="6" hidden="1">{"'Sheet1'!$L$16"}</definedName>
    <definedName name="___h7" localSheetId="8" hidden="1">{"'Sheet1'!$L$16"}</definedName>
    <definedName name="___h7" localSheetId="7" hidden="1">{"'Sheet1'!$L$16"}</definedName>
    <definedName name="___h7" localSheetId="9" hidden="1">{"'Sheet1'!$L$16"}</definedName>
    <definedName name="___h7" localSheetId="10" hidden="1">{"'Sheet1'!$L$16"}</definedName>
    <definedName name="___h7" localSheetId="12" hidden="1">{"'Sheet1'!$L$16"}</definedName>
    <definedName name="___h7" localSheetId="11" hidden="1">{"'Sheet1'!$L$16"}</definedName>
    <definedName name="___h7" localSheetId="13" hidden="1">{"'Sheet1'!$L$16"}</definedName>
    <definedName name="___h7" localSheetId="14" hidden="1">{"'Sheet1'!$L$16"}</definedName>
    <definedName name="___h7" hidden="1">{"'Sheet1'!$L$16"}</definedName>
    <definedName name="___h8" localSheetId="2" hidden="1">{"'Sheet1'!$L$16"}</definedName>
    <definedName name="___h8" localSheetId="3" hidden="1">{"'Sheet1'!$L$16"}</definedName>
    <definedName name="___h8" localSheetId="6" hidden="1">{"'Sheet1'!$L$16"}</definedName>
    <definedName name="___h8" localSheetId="8" hidden="1">{"'Sheet1'!$L$16"}</definedName>
    <definedName name="___h8" localSheetId="7" hidden="1">{"'Sheet1'!$L$16"}</definedName>
    <definedName name="___h8" localSheetId="9" hidden="1">{"'Sheet1'!$L$16"}</definedName>
    <definedName name="___h8" localSheetId="10" hidden="1">{"'Sheet1'!$L$16"}</definedName>
    <definedName name="___h8" localSheetId="12" hidden="1">{"'Sheet1'!$L$16"}</definedName>
    <definedName name="___h8" localSheetId="11" hidden="1">{"'Sheet1'!$L$16"}</definedName>
    <definedName name="___h8" localSheetId="13" hidden="1">{"'Sheet1'!$L$16"}</definedName>
    <definedName name="___h8" localSheetId="14" hidden="1">{"'Sheet1'!$L$16"}</definedName>
    <definedName name="___h8" hidden="1">{"'Sheet1'!$L$16"}</definedName>
    <definedName name="___h9" localSheetId="2" hidden="1">{"'Sheet1'!$L$16"}</definedName>
    <definedName name="___h9" localSheetId="3" hidden="1">{"'Sheet1'!$L$16"}</definedName>
    <definedName name="___h9" localSheetId="6" hidden="1">{"'Sheet1'!$L$16"}</definedName>
    <definedName name="___h9" localSheetId="8" hidden="1">{"'Sheet1'!$L$16"}</definedName>
    <definedName name="___h9" localSheetId="7" hidden="1">{"'Sheet1'!$L$16"}</definedName>
    <definedName name="___h9" localSheetId="9" hidden="1">{"'Sheet1'!$L$16"}</definedName>
    <definedName name="___h9" localSheetId="10" hidden="1">{"'Sheet1'!$L$16"}</definedName>
    <definedName name="___h9" localSheetId="12" hidden="1">{"'Sheet1'!$L$16"}</definedName>
    <definedName name="___h9" localSheetId="11" hidden="1">{"'Sheet1'!$L$16"}</definedName>
    <definedName name="___h9" localSheetId="13" hidden="1">{"'Sheet1'!$L$16"}</definedName>
    <definedName name="___h9" localSheetId="14" hidden="1">{"'Sheet1'!$L$16"}</definedName>
    <definedName name="___h9" hidden="1">{"'Sheet1'!$L$16"}</definedName>
    <definedName name="___HUY1" localSheetId="2" hidden="1">{"'Sheet1'!$L$16"}</definedName>
    <definedName name="___HUY1" localSheetId="3" hidden="1">{"'Sheet1'!$L$16"}</definedName>
    <definedName name="___HUY1" localSheetId="6" hidden="1">{"'Sheet1'!$L$16"}</definedName>
    <definedName name="___HUY1" localSheetId="8" hidden="1">{"'Sheet1'!$L$16"}</definedName>
    <definedName name="___HUY1" localSheetId="7" hidden="1">{"'Sheet1'!$L$16"}</definedName>
    <definedName name="___HUY1" localSheetId="9" hidden="1">{"'Sheet1'!$L$16"}</definedName>
    <definedName name="___HUY1" localSheetId="10" hidden="1">{"'Sheet1'!$L$16"}</definedName>
    <definedName name="___HUY1" localSheetId="12" hidden="1">{"'Sheet1'!$L$16"}</definedName>
    <definedName name="___HUY1" localSheetId="11" hidden="1">{"'Sheet1'!$L$16"}</definedName>
    <definedName name="___HUY1" localSheetId="13" hidden="1">{"'Sheet1'!$L$16"}</definedName>
    <definedName name="___HUY1" localSheetId="14" hidden="1">{"'Sheet1'!$L$16"}</definedName>
    <definedName name="___HUY1" hidden="1">{"'Sheet1'!$L$16"}</definedName>
    <definedName name="___HUY2" localSheetId="2" hidden="1">{"'Sheet1'!$L$16"}</definedName>
    <definedName name="___HUY2" localSheetId="3" hidden="1">{"'Sheet1'!$L$16"}</definedName>
    <definedName name="___HUY2" localSheetId="6" hidden="1">{"'Sheet1'!$L$16"}</definedName>
    <definedName name="___HUY2" localSheetId="8" hidden="1">{"'Sheet1'!$L$16"}</definedName>
    <definedName name="___HUY2" localSheetId="7" hidden="1">{"'Sheet1'!$L$16"}</definedName>
    <definedName name="___HUY2" localSheetId="9" hidden="1">{"'Sheet1'!$L$16"}</definedName>
    <definedName name="___HUY2" localSheetId="10" hidden="1">{"'Sheet1'!$L$16"}</definedName>
    <definedName name="___HUY2" localSheetId="12" hidden="1">{"'Sheet1'!$L$16"}</definedName>
    <definedName name="___HUY2" localSheetId="11" hidden="1">{"'Sheet1'!$L$16"}</definedName>
    <definedName name="___HUY2" localSheetId="13" hidden="1">{"'Sheet1'!$L$16"}</definedName>
    <definedName name="___HUY2" localSheetId="14" hidden="1">{"'Sheet1'!$L$16"}</definedName>
    <definedName name="___HUY2" hidden="1">{"'Sheet1'!$L$16"}</definedName>
    <definedName name="___Lan1" localSheetId="2" hidden="1">{"'Sheet1'!$L$16"}</definedName>
    <definedName name="___Lan1" localSheetId="3" hidden="1">{"'Sheet1'!$L$16"}</definedName>
    <definedName name="___Lan1" localSheetId="6" hidden="1">{"'Sheet1'!$L$16"}</definedName>
    <definedName name="___Lan1" localSheetId="8" hidden="1">{"'Sheet1'!$L$16"}</definedName>
    <definedName name="___Lan1" localSheetId="7" hidden="1">{"'Sheet1'!$L$16"}</definedName>
    <definedName name="___Lan1" localSheetId="9" hidden="1">{"'Sheet1'!$L$16"}</definedName>
    <definedName name="___Lan1" localSheetId="10" hidden="1">{"'Sheet1'!$L$16"}</definedName>
    <definedName name="___Lan1" localSheetId="12" hidden="1">{"'Sheet1'!$L$16"}</definedName>
    <definedName name="___Lan1" localSheetId="11" hidden="1">{"'Sheet1'!$L$16"}</definedName>
    <definedName name="___Lan1" localSheetId="13" hidden="1">{"'Sheet1'!$L$16"}</definedName>
    <definedName name="___Lan1" localSheetId="14" hidden="1">{"'Sheet1'!$L$16"}</definedName>
    <definedName name="___Lan1" hidden="1">{"'Sheet1'!$L$16"}</definedName>
    <definedName name="___LAN3" localSheetId="2" hidden="1">{"'Sheet1'!$L$16"}</definedName>
    <definedName name="___LAN3" localSheetId="3" hidden="1">{"'Sheet1'!$L$16"}</definedName>
    <definedName name="___LAN3" localSheetId="6" hidden="1">{"'Sheet1'!$L$16"}</definedName>
    <definedName name="___LAN3" localSheetId="8" hidden="1">{"'Sheet1'!$L$16"}</definedName>
    <definedName name="___LAN3" localSheetId="7" hidden="1">{"'Sheet1'!$L$16"}</definedName>
    <definedName name="___LAN3" localSheetId="9" hidden="1">{"'Sheet1'!$L$16"}</definedName>
    <definedName name="___LAN3" localSheetId="10" hidden="1">{"'Sheet1'!$L$16"}</definedName>
    <definedName name="___LAN3" localSheetId="12" hidden="1">{"'Sheet1'!$L$16"}</definedName>
    <definedName name="___LAN3" localSheetId="11" hidden="1">{"'Sheet1'!$L$16"}</definedName>
    <definedName name="___LAN3" localSheetId="13" hidden="1">{"'Sheet1'!$L$16"}</definedName>
    <definedName name="___LAN3" localSheetId="14" hidden="1">{"'Sheet1'!$L$16"}</definedName>
    <definedName name="___LAN3" hidden="1">{"'Sheet1'!$L$16"}</definedName>
    <definedName name="___lk2" localSheetId="2" hidden="1">{"'Sheet1'!$L$16"}</definedName>
    <definedName name="___lk2" localSheetId="3" hidden="1">{"'Sheet1'!$L$16"}</definedName>
    <definedName name="___lk2" localSheetId="6" hidden="1">{"'Sheet1'!$L$16"}</definedName>
    <definedName name="___lk2" localSheetId="8" hidden="1">{"'Sheet1'!$L$16"}</definedName>
    <definedName name="___lk2" localSheetId="7" hidden="1">{"'Sheet1'!$L$16"}</definedName>
    <definedName name="___lk2" localSheetId="9" hidden="1">{"'Sheet1'!$L$16"}</definedName>
    <definedName name="___lk2" localSheetId="10" hidden="1">{"'Sheet1'!$L$16"}</definedName>
    <definedName name="___lk2" localSheetId="12" hidden="1">{"'Sheet1'!$L$16"}</definedName>
    <definedName name="___lk2" localSheetId="11" hidden="1">{"'Sheet1'!$L$16"}</definedName>
    <definedName name="___lk2" localSheetId="13" hidden="1">{"'Sheet1'!$L$16"}</definedName>
    <definedName name="___lk2" localSheetId="14" hidden="1">{"'Sheet1'!$L$16"}</definedName>
    <definedName name="___lk2" hidden="1">{"'Sheet1'!$L$16"}</definedName>
    <definedName name="___NSO2" localSheetId="2" hidden="1">{"'Sheet1'!$L$16"}</definedName>
    <definedName name="___NSO2" localSheetId="3" hidden="1">{"'Sheet1'!$L$16"}</definedName>
    <definedName name="___NSO2" localSheetId="6" hidden="1">{"'Sheet1'!$L$16"}</definedName>
    <definedName name="___NSO2" localSheetId="8" hidden="1">{"'Sheet1'!$L$16"}</definedName>
    <definedName name="___NSO2" localSheetId="7" hidden="1">{"'Sheet1'!$L$16"}</definedName>
    <definedName name="___NSO2" localSheetId="9" hidden="1">{"'Sheet1'!$L$16"}</definedName>
    <definedName name="___NSO2" localSheetId="10" hidden="1">{"'Sheet1'!$L$16"}</definedName>
    <definedName name="___NSO2" localSheetId="12" hidden="1">{"'Sheet1'!$L$16"}</definedName>
    <definedName name="___NSO2" localSheetId="11" hidden="1">{"'Sheet1'!$L$16"}</definedName>
    <definedName name="___NSO2" localSheetId="13" hidden="1">{"'Sheet1'!$L$16"}</definedName>
    <definedName name="___NSO2" localSheetId="14" hidden="1">{"'Sheet1'!$L$16"}</definedName>
    <definedName name="___NSO2" hidden="1">{"'Sheet1'!$L$16"}</definedName>
    <definedName name="___PA3" localSheetId="2" hidden="1">{"'Sheet1'!$L$16"}</definedName>
    <definedName name="___PA3" localSheetId="3" hidden="1">{"'Sheet1'!$L$16"}</definedName>
    <definedName name="___PA3" localSheetId="6" hidden="1">{"'Sheet1'!$L$16"}</definedName>
    <definedName name="___PA3" localSheetId="8" hidden="1">{"'Sheet1'!$L$16"}</definedName>
    <definedName name="___PA3" localSheetId="7" hidden="1">{"'Sheet1'!$L$16"}</definedName>
    <definedName name="___PA3" localSheetId="9" hidden="1">{"'Sheet1'!$L$16"}</definedName>
    <definedName name="___PA3" localSheetId="10" hidden="1">{"'Sheet1'!$L$16"}</definedName>
    <definedName name="___PA3" localSheetId="12" hidden="1">{"'Sheet1'!$L$16"}</definedName>
    <definedName name="___PA3" localSheetId="11" hidden="1">{"'Sheet1'!$L$16"}</definedName>
    <definedName name="___PA3" localSheetId="13" hidden="1">{"'Sheet1'!$L$16"}</definedName>
    <definedName name="___PA3" localSheetId="14" hidden="1">{"'Sheet1'!$L$16"}</definedName>
    <definedName name="___PA3" hidden="1">{"'Sheet1'!$L$16"}</definedName>
    <definedName name="___Pl2" localSheetId="2" hidden="1">{"'Sheet1'!$L$16"}</definedName>
    <definedName name="___Pl2" localSheetId="3" hidden="1">{"'Sheet1'!$L$16"}</definedName>
    <definedName name="___Pl2" localSheetId="6" hidden="1">{"'Sheet1'!$L$16"}</definedName>
    <definedName name="___Pl2" localSheetId="8" hidden="1">{"'Sheet1'!$L$16"}</definedName>
    <definedName name="___Pl2" localSheetId="7" hidden="1">{"'Sheet1'!$L$16"}</definedName>
    <definedName name="___Pl2" localSheetId="9" hidden="1">{"'Sheet1'!$L$16"}</definedName>
    <definedName name="___Pl2" localSheetId="10" hidden="1">{"'Sheet1'!$L$16"}</definedName>
    <definedName name="___Pl2" localSheetId="12" hidden="1">{"'Sheet1'!$L$16"}</definedName>
    <definedName name="___Pl2" localSheetId="11" hidden="1">{"'Sheet1'!$L$16"}</definedName>
    <definedName name="___Pl2" localSheetId="13" hidden="1">{"'Sheet1'!$L$16"}</definedName>
    <definedName name="___Pl2" localSheetId="14" hidden="1">{"'Sheet1'!$L$16"}</definedName>
    <definedName name="___Pl2" hidden="1">{"'Sheet1'!$L$16"}</definedName>
    <definedName name="___Tru21" localSheetId="2" hidden="1">{"'Sheet1'!$L$16"}</definedName>
    <definedName name="___Tru21" localSheetId="3" hidden="1">{"'Sheet1'!$L$16"}</definedName>
    <definedName name="___Tru21" localSheetId="6" hidden="1">{"'Sheet1'!$L$16"}</definedName>
    <definedName name="___Tru21" localSheetId="8" hidden="1">{"'Sheet1'!$L$16"}</definedName>
    <definedName name="___Tru21" localSheetId="7" hidden="1">{"'Sheet1'!$L$16"}</definedName>
    <definedName name="___Tru21" localSheetId="9" hidden="1">{"'Sheet1'!$L$16"}</definedName>
    <definedName name="___Tru21" localSheetId="10" hidden="1">{"'Sheet1'!$L$16"}</definedName>
    <definedName name="___Tru21" localSheetId="12" hidden="1">{"'Sheet1'!$L$16"}</definedName>
    <definedName name="___Tru21" localSheetId="11" hidden="1">{"'Sheet1'!$L$16"}</definedName>
    <definedName name="___Tru21" localSheetId="13" hidden="1">{"'Sheet1'!$L$16"}</definedName>
    <definedName name="___Tru21" localSheetId="14" hidden="1">{"'Sheet1'!$L$16"}</definedName>
    <definedName name="___Tru21" hidden="1">{"'Sheet1'!$L$16"}</definedName>
    <definedName name="___tt3" localSheetId="2" hidden="1">{"'Sheet1'!$L$16"}</definedName>
    <definedName name="___tt3" localSheetId="3" hidden="1">{"'Sheet1'!$L$16"}</definedName>
    <definedName name="___tt3" localSheetId="6" hidden="1">{"'Sheet1'!$L$16"}</definedName>
    <definedName name="___tt3" localSheetId="8" hidden="1">{"'Sheet1'!$L$16"}</definedName>
    <definedName name="___tt3" localSheetId="7" hidden="1">{"'Sheet1'!$L$16"}</definedName>
    <definedName name="___tt3" localSheetId="9" hidden="1">{"'Sheet1'!$L$16"}</definedName>
    <definedName name="___tt3" localSheetId="10" hidden="1">{"'Sheet1'!$L$16"}</definedName>
    <definedName name="___tt3" localSheetId="12" hidden="1">{"'Sheet1'!$L$16"}</definedName>
    <definedName name="___tt3" localSheetId="11" hidden="1">{"'Sheet1'!$L$16"}</definedName>
    <definedName name="___tt3" localSheetId="13" hidden="1">{"'Sheet1'!$L$16"}</definedName>
    <definedName name="___tt3" localSheetId="14" hidden="1">{"'Sheet1'!$L$16"}</definedName>
    <definedName name="___tt3" hidden="1">{"'Sheet1'!$L$16"}</definedName>
    <definedName name="___TT31" localSheetId="2" hidden="1">{"'Sheet1'!$L$16"}</definedName>
    <definedName name="___TT31" localSheetId="3" hidden="1">{"'Sheet1'!$L$16"}</definedName>
    <definedName name="___TT31" localSheetId="6" hidden="1">{"'Sheet1'!$L$16"}</definedName>
    <definedName name="___TT31" localSheetId="8" hidden="1">{"'Sheet1'!$L$16"}</definedName>
    <definedName name="___TT31" localSheetId="7" hidden="1">{"'Sheet1'!$L$16"}</definedName>
    <definedName name="___TT31" localSheetId="9" hidden="1">{"'Sheet1'!$L$16"}</definedName>
    <definedName name="___TT31" localSheetId="10" hidden="1">{"'Sheet1'!$L$16"}</definedName>
    <definedName name="___TT31" localSheetId="12" hidden="1">{"'Sheet1'!$L$16"}</definedName>
    <definedName name="___TT31" localSheetId="11" hidden="1">{"'Sheet1'!$L$16"}</definedName>
    <definedName name="___TT31" localSheetId="13" hidden="1">{"'Sheet1'!$L$16"}</definedName>
    <definedName name="___TT31" localSheetId="14" hidden="1">{"'Sheet1'!$L$16"}</definedName>
    <definedName name="___TT31" hidden="1">{"'Sheet1'!$L$16"}</definedName>
    <definedName name="___vl2" localSheetId="2" hidden="1">{"'Sheet1'!$L$16"}</definedName>
    <definedName name="___vl2" localSheetId="3" hidden="1">{"'Sheet1'!$L$16"}</definedName>
    <definedName name="___vl2" localSheetId="6" hidden="1">{"'Sheet1'!$L$16"}</definedName>
    <definedName name="___vl2" localSheetId="8" hidden="1">{"'Sheet1'!$L$16"}</definedName>
    <definedName name="___vl2" localSheetId="7" hidden="1">{"'Sheet1'!$L$16"}</definedName>
    <definedName name="___vl2" localSheetId="9" hidden="1">{"'Sheet1'!$L$16"}</definedName>
    <definedName name="___vl2" localSheetId="10" hidden="1">{"'Sheet1'!$L$16"}</definedName>
    <definedName name="___vl2" localSheetId="12" hidden="1">{"'Sheet1'!$L$16"}</definedName>
    <definedName name="___vl2" localSheetId="11" hidden="1">{"'Sheet1'!$L$16"}</definedName>
    <definedName name="___vl2" localSheetId="13" hidden="1">{"'Sheet1'!$L$16"}</definedName>
    <definedName name="___vl2" localSheetId="14" hidden="1">{"'Sheet1'!$L$16"}</definedName>
    <definedName name="___vl2" hidden="1">{"'Sheet1'!$L$16"}</definedName>
    <definedName name="___VM2" localSheetId="2" hidden="1">{"'Sheet1'!$L$16"}</definedName>
    <definedName name="___VM2" localSheetId="3" hidden="1">{"'Sheet1'!$L$16"}</definedName>
    <definedName name="___VM2" localSheetId="6" hidden="1">{"'Sheet1'!$L$16"}</definedName>
    <definedName name="___VM2" localSheetId="8" hidden="1">{"'Sheet1'!$L$16"}</definedName>
    <definedName name="___VM2" localSheetId="7" hidden="1">{"'Sheet1'!$L$16"}</definedName>
    <definedName name="___VM2" localSheetId="9" hidden="1">{"'Sheet1'!$L$16"}</definedName>
    <definedName name="___VM2" localSheetId="10" hidden="1">{"'Sheet1'!$L$16"}</definedName>
    <definedName name="___VM2" localSheetId="12" hidden="1">{"'Sheet1'!$L$16"}</definedName>
    <definedName name="___VM2" localSheetId="11" hidden="1">{"'Sheet1'!$L$16"}</definedName>
    <definedName name="___VM2" localSheetId="13" hidden="1">{"'Sheet1'!$L$16"}</definedName>
    <definedName name="___VM2" localSheetId="14" hidden="1">{"'Sheet1'!$L$16"}</definedName>
    <definedName name="___VM2" hidden="1">{"'Sheet1'!$L$16"}</definedName>
    <definedName name="__a1" localSheetId="2" hidden="1">{"'Sheet1'!$L$16"}</definedName>
    <definedName name="__a1" localSheetId="3" hidden="1">{"'Sheet1'!$L$16"}</definedName>
    <definedName name="__a1" localSheetId="6" hidden="1">{"'Sheet1'!$L$16"}</definedName>
    <definedName name="__a1" localSheetId="8" hidden="1">{"'Sheet1'!$L$16"}</definedName>
    <definedName name="__a1" localSheetId="7" hidden="1">{"'Sheet1'!$L$16"}</definedName>
    <definedName name="__a1" localSheetId="9" hidden="1">{"'Sheet1'!$L$16"}</definedName>
    <definedName name="__a1" localSheetId="10" hidden="1">{"'Sheet1'!$L$16"}</definedName>
    <definedName name="__a1" localSheetId="12" hidden="1">{"'Sheet1'!$L$16"}</definedName>
    <definedName name="__a1" localSheetId="11" hidden="1">{"'Sheet1'!$L$16"}</definedName>
    <definedName name="__a1" localSheetId="13" hidden="1">{"'Sheet1'!$L$16"}</definedName>
    <definedName name="__a1" localSheetId="14" hidden="1">{"'Sheet1'!$L$16"}</definedName>
    <definedName name="__a1" hidden="1">{"'Sheet1'!$L$16"}</definedName>
    <definedName name="__ban2" localSheetId="2" hidden="1">{"'Sheet1'!$L$16"}</definedName>
    <definedName name="__ban2" localSheetId="3" hidden="1">{"'Sheet1'!$L$16"}</definedName>
    <definedName name="__ban2" localSheetId="6" hidden="1">{"'Sheet1'!$L$16"}</definedName>
    <definedName name="__ban2" localSheetId="8" hidden="1">{"'Sheet1'!$L$16"}</definedName>
    <definedName name="__ban2" localSheetId="7" hidden="1">{"'Sheet1'!$L$16"}</definedName>
    <definedName name="__ban2" localSheetId="9" hidden="1">{"'Sheet1'!$L$16"}</definedName>
    <definedName name="__ban2" localSheetId="10" hidden="1">{"'Sheet1'!$L$16"}</definedName>
    <definedName name="__ban2" localSheetId="12" hidden="1">{"'Sheet1'!$L$16"}</definedName>
    <definedName name="__ban2" localSheetId="11" hidden="1">{"'Sheet1'!$L$16"}</definedName>
    <definedName name="__ban2" localSheetId="13" hidden="1">{"'Sheet1'!$L$16"}</definedName>
    <definedName name="__ban2" localSheetId="14" hidden="1">{"'Sheet1'!$L$16"}</definedName>
    <definedName name="__ban2" hidden="1">{"'Sheet1'!$L$16"}</definedName>
    <definedName name="__cep1" localSheetId="2" hidden="1">{"'Sheet1'!$L$16"}</definedName>
    <definedName name="__cep1" localSheetId="3" hidden="1">{"'Sheet1'!$L$16"}</definedName>
    <definedName name="__cep1" localSheetId="6" hidden="1">{"'Sheet1'!$L$16"}</definedName>
    <definedName name="__cep1" localSheetId="8" hidden="1">{"'Sheet1'!$L$16"}</definedName>
    <definedName name="__cep1" localSheetId="7" hidden="1">{"'Sheet1'!$L$16"}</definedName>
    <definedName name="__cep1" localSheetId="9" hidden="1">{"'Sheet1'!$L$16"}</definedName>
    <definedName name="__cep1" localSheetId="10" hidden="1">{"'Sheet1'!$L$16"}</definedName>
    <definedName name="__cep1" localSheetId="12" hidden="1">{"'Sheet1'!$L$16"}</definedName>
    <definedName name="__cep1" localSheetId="11" hidden="1">{"'Sheet1'!$L$16"}</definedName>
    <definedName name="__cep1" localSheetId="13" hidden="1">{"'Sheet1'!$L$16"}</definedName>
    <definedName name="__cep1" localSheetId="14" hidden="1">{"'Sheet1'!$L$16"}</definedName>
    <definedName name="__cep1" hidden="1">{"'Sheet1'!$L$16"}</definedName>
    <definedName name="__Coc39" localSheetId="2" hidden="1">{"'Sheet1'!$L$16"}</definedName>
    <definedName name="__Coc39" localSheetId="3" hidden="1">{"'Sheet1'!$L$16"}</definedName>
    <definedName name="__Coc39" localSheetId="6" hidden="1">{"'Sheet1'!$L$16"}</definedName>
    <definedName name="__Coc39" localSheetId="8" hidden="1">{"'Sheet1'!$L$16"}</definedName>
    <definedName name="__Coc39" localSheetId="7" hidden="1">{"'Sheet1'!$L$16"}</definedName>
    <definedName name="__Coc39" localSheetId="9" hidden="1">{"'Sheet1'!$L$16"}</definedName>
    <definedName name="__Coc39" localSheetId="10" hidden="1">{"'Sheet1'!$L$16"}</definedName>
    <definedName name="__Coc39" localSheetId="12" hidden="1">{"'Sheet1'!$L$16"}</definedName>
    <definedName name="__Coc39" localSheetId="11" hidden="1">{"'Sheet1'!$L$16"}</definedName>
    <definedName name="__Coc39" localSheetId="13" hidden="1">{"'Sheet1'!$L$16"}</definedName>
    <definedName name="__Coc39" localSheetId="14" hidden="1">{"'Sheet1'!$L$16"}</definedName>
    <definedName name="__Coc39" hidden="1">{"'Sheet1'!$L$16"}</definedName>
    <definedName name="__Goi8" localSheetId="2" hidden="1">{"'Sheet1'!$L$16"}</definedName>
    <definedName name="__Goi8" localSheetId="3" hidden="1">{"'Sheet1'!$L$16"}</definedName>
    <definedName name="__Goi8" localSheetId="6" hidden="1">{"'Sheet1'!$L$16"}</definedName>
    <definedName name="__Goi8" localSheetId="8" hidden="1">{"'Sheet1'!$L$16"}</definedName>
    <definedName name="__Goi8" localSheetId="7" hidden="1">{"'Sheet1'!$L$16"}</definedName>
    <definedName name="__Goi8" localSheetId="9" hidden="1">{"'Sheet1'!$L$16"}</definedName>
    <definedName name="__Goi8" localSheetId="10" hidden="1">{"'Sheet1'!$L$16"}</definedName>
    <definedName name="__Goi8" localSheetId="12" hidden="1">{"'Sheet1'!$L$16"}</definedName>
    <definedName name="__Goi8" localSheetId="11" hidden="1">{"'Sheet1'!$L$16"}</definedName>
    <definedName name="__Goi8" localSheetId="13" hidden="1">{"'Sheet1'!$L$16"}</definedName>
    <definedName name="__Goi8" localSheetId="14" hidden="1">{"'Sheet1'!$L$16"}</definedName>
    <definedName name="__Goi8" hidden="1">{"'Sheet1'!$L$16"}</definedName>
    <definedName name="__h1" localSheetId="2" hidden="1">{"'Sheet1'!$L$16"}</definedName>
    <definedName name="__h1" localSheetId="3" hidden="1">{"'Sheet1'!$L$16"}</definedName>
    <definedName name="__h1" localSheetId="6" hidden="1">{"'Sheet1'!$L$16"}</definedName>
    <definedName name="__h1" localSheetId="8" hidden="1">{"'Sheet1'!$L$16"}</definedName>
    <definedName name="__h1" localSheetId="7" hidden="1">{"'Sheet1'!$L$16"}</definedName>
    <definedName name="__h1" localSheetId="9" hidden="1">{"'Sheet1'!$L$16"}</definedName>
    <definedName name="__h1" localSheetId="10" hidden="1">{"'Sheet1'!$L$16"}</definedName>
    <definedName name="__h1" localSheetId="12" hidden="1">{"'Sheet1'!$L$16"}</definedName>
    <definedName name="__h1" localSheetId="11" hidden="1">{"'Sheet1'!$L$16"}</definedName>
    <definedName name="__h1" localSheetId="13" hidden="1">{"'Sheet1'!$L$16"}</definedName>
    <definedName name="__h1" localSheetId="14" hidden="1">{"'Sheet1'!$L$16"}</definedName>
    <definedName name="__h1" hidden="1">{"'Sheet1'!$L$16"}</definedName>
    <definedName name="__h10" localSheetId="2" hidden="1">{#N/A,#N/A,FALSE,"Chi tiÆt"}</definedName>
    <definedName name="__h10" localSheetId="3" hidden="1">{#N/A,#N/A,FALSE,"Chi tiÆt"}</definedName>
    <definedName name="__h10" localSheetId="6" hidden="1">{#N/A,#N/A,FALSE,"Chi tiÆt"}</definedName>
    <definedName name="__h10" localSheetId="8" hidden="1">{#N/A,#N/A,FALSE,"Chi tiÆt"}</definedName>
    <definedName name="__h10" localSheetId="7" hidden="1">{#N/A,#N/A,FALSE,"Chi tiÆt"}</definedName>
    <definedName name="__h10" localSheetId="9" hidden="1">{#N/A,#N/A,FALSE,"Chi tiÆt"}</definedName>
    <definedName name="__h10" localSheetId="10" hidden="1">{#N/A,#N/A,FALSE,"Chi tiÆt"}</definedName>
    <definedName name="__h10" localSheetId="12" hidden="1">{#N/A,#N/A,FALSE,"Chi tiÆt"}</definedName>
    <definedName name="__h10" localSheetId="11" hidden="1">{#N/A,#N/A,FALSE,"Chi tiÆt"}</definedName>
    <definedName name="__h10" localSheetId="13" hidden="1">{#N/A,#N/A,FALSE,"Chi tiÆt"}</definedName>
    <definedName name="__h10" localSheetId="14" hidden="1">{#N/A,#N/A,FALSE,"Chi tiÆt"}</definedName>
    <definedName name="__h10" hidden="1">{#N/A,#N/A,FALSE,"Chi tiÆt"}</definedName>
    <definedName name="__h2" localSheetId="2" hidden="1">{"'Sheet1'!$L$16"}</definedName>
    <definedName name="__h2" localSheetId="3" hidden="1">{"'Sheet1'!$L$16"}</definedName>
    <definedName name="__h2" localSheetId="6" hidden="1">{"'Sheet1'!$L$16"}</definedName>
    <definedName name="__h2" localSheetId="8" hidden="1">{"'Sheet1'!$L$16"}</definedName>
    <definedName name="__h2" localSheetId="7" hidden="1">{"'Sheet1'!$L$16"}</definedName>
    <definedName name="__h2" localSheetId="9" hidden="1">{"'Sheet1'!$L$16"}</definedName>
    <definedName name="__h2" localSheetId="10" hidden="1">{"'Sheet1'!$L$16"}</definedName>
    <definedName name="__h2" localSheetId="12" hidden="1">{"'Sheet1'!$L$16"}</definedName>
    <definedName name="__h2" localSheetId="11" hidden="1">{"'Sheet1'!$L$16"}</definedName>
    <definedName name="__h2" localSheetId="13" hidden="1">{"'Sheet1'!$L$16"}</definedName>
    <definedName name="__h2" localSheetId="14" hidden="1">{"'Sheet1'!$L$16"}</definedName>
    <definedName name="__h2" hidden="1">{"'Sheet1'!$L$16"}</definedName>
    <definedName name="__h3" localSheetId="2" hidden="1">{"'Sheet1'!$L$16"}</definedName>
    <definedName name="__h3" localSheetId="3" hidden="1">{"'Sheet1'!$L$16"}</definedName>
    <definedName name="__h3" localSheetId="6" hidden="1">{"'Sheet1'!$L$16"}</definedName>
    <definedName name="__h3" localSheetId="8" hidden="1">{"'Sheet1'!$L$16"}</definedName>
    <definedName name="__h3" localSheetId="7" hidden="1">{"'Sheet1'!$L$16"}</definedName>
    <definedName name="__h3" localSheetId="9" hidden="1">{"'Sheet1'!$L$16"}</definedName>
    <definedName name="__h3" localSheetId="10" hidden="1">{"'Sheet1'!$L$16"}</definedName>
    <definedName name="__h3" localSheetId="12" hidden="1">{"'Sheet1'!$L$16"}</definedName>
    <definedName name="__h3" localSheetId="11" hidden="1">{"'Sheet1'!$L$16"}</definedName>
    <definedName name="__h3" localSheetId="13" hidden="1">{"'Sheet1'!$L$16"}</definedName>
    <definedName name="__h3" localSheetId="14" hidden="1">{"'Sheet1'!$L$16"}</definedName>
    <definedName name="__h3" hidden="1">{"'Sheet1'!$L$16"}</definedName>
    <definedName name="__h5" localSheetId="2" hidden="1">{"'Sheet1'!$L$16"}</definedName>
    <definedName name="__h5" localSheetId="3" hidden="1">{"'Sheet1'!$L$16"}</definedName>
    <definedName name="__h5" localSheetId="6" hidden="1">{"'Sheet1'!$L$16"}</definedName>
    <definedName name="__h5" localSheetId="8" hidden="1">{"'Sheet1'!$L$16"}</definedName>
    <definedName name="__h5" localSheetId="7" hidden="1">{"'Sheet1'!$L$16"}</definedName>
    <definedName name="__h5" localSheetId="9" hidden="1">{"'Sheet1'!$L$16"}</definedName>
    <definedName name="__h5" localSheetId="10" hidden="1">{"'Sheet1'!$L$16"}</definedName>
    <definedName name="__h5" localSheetId="12" hidden="1">{"'Sheet1'!$L$16"}</definedName>
    <definedName name="__h5" localSheetId="11" hidden="1">{"'Sheet1'!$L$16"}</definedName>
    <definedName name="__h5" localSheetId="13" hidden="1">{"'Sheet1'!$L$16"}</definedName>
    <definedName name="__h5" localSheetId="14" hidden="1">{"'Sheet1'!$L$16"}</definedName>
    <definedName name="__h5" hidden="1">{"'Sheet1'!$L$16"}</definedName>
    <definedName name="__h6" localSheetId="2" hidden="1">{"'Sheet1'!$L$16"}</definedName>
    <definedName name="__h6" localSheetId="3" hidden="1">{"'Sheet1'!$L$16"}</definedName>
    <definedName name="__h6" localSheetId="6" hidden="1">{"'Sheet1'!$L$16"}</definedName>
    <definedName name="__h6" localSheetId="8" hidden="1">{"'Sheet1'!$L$16"}</definedName>
    <definedName name="__h6" localSheetId="7" hidden="1">{"'Sheet1'!$L$16"}</definedName>
    <definedName name="__h6" localSheetId="9" hidden="1">{"'Sheet1'!$L$16"}</definedName>
    <definedName name="__h6" localSheetId="10" hidden="1">{"'Sheet1'!$L$16"}</definedName>
    <definedName name="__h6" localSheetId="12" hidden="1">{"'Sheet1'!$L$16"}</definedName>
    <definedName name="__h6" localSheetId="11" hidden="1">{"'Sheet1'!$L$16"}</definedName>
    <definedName name="__h6" localSheetId="13" hidden="1">{"'Sheet1'!$L$16"}</definedName>
    <definedName name="__h6" localSheetId="14" hidden="1">{"'Sheet1'!$L$16"}</definedName>
    <definedName name="__h6" hidden="1">{"'Sheet1'!$L$16"}</definedName>
    <definedName name="__h7" localSheetId="2" hidden="1">{"'Sheet1'!$L$16"}</definedName>
    <definedName name="__h7" localSheetId="3" hidden="1">{"'Sheet1'!$L$16"}</definedName>
    <definedName name="__h7" localSheetId="6" hidden="1">{"'Sheet1'!$L$16"}</definedName>
    <definedName name="__h7" localSheetId="8" hidden="1">{"'Sheet1'!$L$16"}</definedName>
    <definedName name="__h7" localSheetId="7" hidden="1">{"'Sheet1'!$L$16"}</definedName>
    <definedName name="__h7" localSheetId="9" hidden="1">{"'Sheet1'!$L$16"}</definedName>
    <definedName name="__h7" localSheetId="10" hidden="1">{"'Sheet1'!$L$16"}</definedName>
    <definedName name="__h7" localSheetId="12" hidden="1">{"'Sheet1'!$L$16"}</definedName>
    <definedName name="__h7" localSheetId="11" hidden="1">{"'Sheet1'!$L$16"}</definedName>
    <definedName name="__h7" localSheetId="13" hidden="1">{"'Sheet1'!$L$16"}</definedName>
    <definedName name="__h7" localSheetId="14" hidden="1">{"'Sheet1'!$L$16"}</definedName>
    <definedName name="__h7" hidden="1">{"'Sheet1'!$L$16"}</definedName>
    <definedName name="__h8" localSheetId="2" hidden="1">{"'Sheet1'!$L$16"}</definedName>
    <definedName name="__h8" localSheetId="3" hidden="1">{"'Sheet1'!$L$16"}</definedName>
    <definedName name="__h8" localSheetId="6" hidden="1">{"'Sheet1'!$L$16"}</definedName>
    <definedName name="__h8" localSheetId="8" hidden="1">{"'Sheet1'!$L$16"}</definedName>
    <definedName name="__h8" localSheetId="7" hidden="1">{"'Sheet1'!$L$16"}</definedName>
    <definedName name="__h8" localSheetId="9" hidden="1">{"'Sheet1'!$L$16"}</definedName>
    <definedName name="__h8" localSheetId="10" hidden="1">{"'Sheet1'!$L$16"}</definedName>
    <definedName name="__h8" localSheetId="12" hidden="1">{"'Sheet1'!$L$16"}</definedName>
    <definedName name="__h8" localSheetId="11" hidden="1">{"'Sheet1'!$L$16"}</definedName>
    <definedName name="__h8" localSheetId="13" hidden="1">{"'Sheet1'!$L$16"}</definedName>
    <definedName name="__h8" localSheetId="14" hidden="1">{"'Sheet1'!$L$16"}</definedName>
    <definedName name="__h8" hidden="1">{"'Sheet1'!$L$16"}</definedName>
    <definedName name="__h9" localSheetId="2" hidden="1">{"'Sheet1'!$L$16"}</definedName>
    <definedName name="__h9" localSheetId="3" hidden="1">{"'Sheet1'!$L$16"}</definedName>
    <definedName name="__h9" localSheetId="6" hidden="1">{"'Sheet1'!$L$16"}</definedName>
    <definedName name="__h9" localSheetId="8" hidden="1">{"'Sheet1'!$L$16"}</definedName>
    <definedName name="__h9" localSheetId="7" hidden="1">{"'Sheet1'!$L$16"}</definedName>
    <definedName name="__h9" localSheetId="9" hidden="1">{"'Sheet1'!$L$16"}</definedName>
    <definedName name="__h9" localSheetId="10" hidden="1">{"'Sheet1'!$L$16"}</definedName>
    <definedName name="__h9" localSheetId="12" hidden="1">{"'Sheet1'!$L$16"}</definedName>
    <definedName name="__h9" localSheetId="11" hidden="1">{"'Sheet1'!$L$16"}</definedName>
    <definedName name="__h9" localSheetId="13" hidden="1">{"'Sheet1'!$L$16"}</definedName>
    <definedName name="__h9" localSheetId="14" hidden="1">{"'Sheet1'!$L$16"}</definedName>
    <definedName name="__h9" hidden="1">{"'Sheet1'!$L$16"}</definedName>
    <definedName name="__HUY1" localSheetId="2" hidden="1">{"'Sheet1'!$L$16"}</definedName>
    <definedName name="__HUY1" localSheetId="3" hidden="1">{"'Sheet1'!$L$16"}</definedName>
    <definedName name="__HUY1" localSheetId="6" hidden="1">{"'Sheet1'!$L$16"}</definedName>
    <definedName name="__HUY1" localSheetId="8" hidden="1">{"'Sheet1'!$L$16"}</definedName>
    <definedName name="__HUY1" localSheetId="7" hidden="1">{"'Sheet1'!$L$16"}</definedName>
    <definedName name="__HUY1" localSheetId="9" hidden="1">{"'Sheet1'!$L$16"}</definedName>
    <definedName name="__HUY1" localSheetId="10" hidden="1">{"'Sheet1'!$L$16"}</definedName>
    <definedName name="__HUY1" localSheetId="12" hidden="1">{"'Sheet1'!$L$16"}</definedName>
    <definedName name="__HUY1" localSheetId="11" hidden="1">{"'Sheet1'!$L$16"}</definedName>
    <definedName name="__HUY1" localSheetId="13" hidden="1">{"'Sheet1'!$L$16"}</definedName>
    <definedName name="__HUY1" localSheetId="14" hidden="1">{"'Sheet1'!$L$16"}</definedName>
    <definedName name="__HUY1" hidden="1">{"'Sheet1'!$L$16"}</definedName>
    <definedName name="__HUY2" localSheetId="2" hidden="1">{"'Sheet1'!$L$16"}</definedName>
    <definedName name="__HUY2" localSheetId="3" hidden="1">{"'Sheet1'!$L$16"}</definedName>
    <definedName name="__HUY2" localSheetId="6" hidden="1">{"'Sheet1'!$L$16"}</definedName>
    <definedName name="__HUY2" localSheetId="8" hidden="1">{"'Sheet1'!$L$16"}</definedName>
    <definedName name="__HUY2" localSheetId="7" hidden="1">{"'Sheet1'!$L$16"}</definedName>
    <definedName name="__HUY2" localSheetId="9" hidden="1">{"'Sheet1'!$L$16"}</definedName>
    <definedName name="__HUY2" localSheetId="10" hidden="1">{"'Sheet1'!$L$16"}</definedName>
    <definedName name="__HUY2" localSheetId="12" hidden="1">{"'Sheet1'!$L$16"}</definedName>
    <definedName name="__HUY2" localSheetId="11" hidden="1">{"'Sheet1'!$L$16"}</definedName>
    <definedName name="__HUY2" localSheetId="13" hidden="1">{"'Sheet1'!$L$16"}</definedName>
    <definedName name="__HUY2" localSheetId="14" hidden="1">{"'Sheet1'!$L$16"}</definedName>
    <definedName name="__HUY2" hidden="1">{"'Sheet1'!$L$16"}</definedName>
    <definedName name="__Lan1" localSheetId="2" hidden="1">{"'Sheet1'!$L$16"}</definedName>
    <definedName name="__Lan1" localSheetId="3" hidden="1">{"'Sheet1'!$L$16"}</definedName>
    <definedName name="__Lan1" localSheetId="6" hidden="1">{"'Sheet1'!$L$16"}</definedName>
    <definedName name="__Lan1" localSheetId="8" hidden="1">{"'Sheet1'!$L$16"}</definedName>
    <definedName name="__Lan1" localSheetId="7" hidden="1">{"'Sheet1'!$L$16"}</definedName>
    <definedName name="__Lan1" localSheetId="9" hidden="1">{"'Sheet1'!$L$16"}</definedName>
    <definedName name="__Lan1" localSheetId="10" hidden="1">{"'Sheet1'!$L$16"}</definedName>
    <definedName name="__Lan1" localSheetId="12" hidden="1">{"'Sheet1'!$L$16"}</definedName>
    <definedName name="__Lan1" localSheetId="11" hidden="1">{"'Sheet1'!$L$16"}</definedName>
    <definedName name="__Lan1" localSheetId="13" hidden="1">{"'Sheet1'!$L$16"}</definedName>
    <definedName name="__Lan1" localSheetId="14" hidden="1">{"'Sheet1'!$L$16"}</definedName>
    <definedName name="__Lan1" hidden="1">{"'Sheet1'!$L$16"}</definedName>
    <definedName name="__LAN3" localSheetId="2" hidden="1">{"'Sheet1'!$L$16"}</definedName>
    <definedName name="__LAN3" localSheetId="3" hidden="1">{"'Sheet1'!$L$16"}</definedName>
    <definedName name="__LAN3" localSheetId="6" hidden="1">{"'Sheet1'!$L$16"}</definedName>
    <definedName name="__LAN3" localSheetId="8" hidden="1">{"'Sheet1'!$L$16"}</definedName>
    <definedName name="__LAN3" localSheetId="7" hidden="1">{"'Sheet1'!$L$16"}</definedName>
    <definedName name="__LAN3" localSheetId="9" hidden="1">{"'Sheet1'!$L$16"}</definedName>
    <definedName name="__LAN3" localSheetId="10" hidden="1">{"'Sheet1'!$L$16"}</definedName>
    <definedName name="__LAN3" localSheetId="12" hidden="1">{"'Sheet1'!$L$16"}</definedName>
    <definedName name="__LAN3" localSheetId="11" hidden="1">{"'Sheet1'!$L$16"}</definedName>
    <definedName name="__LAN3" localSheetId="13" hidden="1">{"'Sheet1'!$L$16"}</definedName>
    <definedName name="__LAN3" localSheetId="14" hidden="1">{"'Sheet1'!$L$16"}</definedName>
    <definedName name="__LAN3" hidden="1">{"'Sheet1'!$L$16"}</definedName>
    <definedName name="__lk2" localSheetId="2" hidden="1">{"'Sheet1'!$L$16"}</definedName>
    <definedName name="__lk2" localSheetId="3" hidden="1">{"'Sheet1'!$L$16"}</definedName>
    <definedName name="__lk2" localSheetId="6" hidden="1">{"'Sheet1'!$L$16"}</definedName>
    <definedName name="__lk2" localSheetId="8" hidden="1">{"'Sheet1'!$L$16"}</definedName>
    <definedName name="__lk2" localSheetId="7" hidden="1">{"'Sheet1'!$L$16"}</definedName>
    <definedName name="__lk2" localSheetId="9" hidden="1">{"'Sheet1'!$L$16"}</definedName>
    <definedName name="__lk2" localSheetId="10" hidden="1">{"'Sheet1'!$L$16"}</definedName>
    <definedName name="__lk2" localSheetId="12" hidden="1">{"'Sheet1'!$L$16"}</definedName>
    <definedName name="__lk2" localSheetId="11" hidden="1">{"'Sheet1'!$L$16"}</definedName>
    <definedName name="__lk2" localSheetId="13" hidden="1">{"'Sheet1'!$L$16"}</definedName>
    <definedName name="__lk2" localSheetId="14" hidden="1">{"'Sheet1'!$L$16"}</definedName>
    <definedName name="__lk2" hidden="1">{"'Sheet1'!$L$16"}</definedName>
    <definedName name="__NSO2" localSheetId="2" hidden="1">{"'Sheet1'!$L$16"}</definedName>
    <definedName name="__NSO2" localSheetId="3" hidden="1">{"'Sheet1'!$L$16"}</definedName>
    <definedName name="__NSO2" localSheetId="6" hidden="1">{"'Sheet1'!$L$16"}</definedName>
    <definedName name="__NSO2" localSheetId="8" hidden="1">{"'Sheet1'!$L$16"}</definedName>
    <definedName name="__NSO2" localSheetId="7" hidden="1">{"'Sheet1'!$L$16"}</definedName>
    <definedName name="__NSO2" localSheetId="9" hidden="1">{"'Sheet1'!$L$16"}</definedName>
    <definedName name="__NSO2" localSheetId="10" hidden="1">{"'Sheet1'!$L$16"}</definedName>
    <definedName name="__NSO2" localSheetId="12" hidden="1">{"'Sheet1'!$L$16"}</definedName>
    <definedName name="__NSO2" localSheetId="11" hidden="1">{"'Sheet1'!$L$16"}</definedName>
    <definedName name="__NSO2" localSheetId="13" hidden="1">{"'Sheet1'!$L$16"}</definedName>
    <definedName name="__NSO2" localSheetId="14" hidden="1">{"'Sheet1'!$L$16"}</definedName>
    <definedName name="__NSO2" hidden="1">{"'Sheet1'!$L$16"}</definedName>
    <definedName name="__PA3" localSheetId="2" hidden="1">{"'Sheet1'!$L$16"}</definedName>
    <definedName name="__PA3" localSheetId="3" hidden="1">{"'Sheet1'!$L$16"}</definedName>
    <definedName name="__PA3" localSheetId="6" hidden="1">{"'Sheet1'!$L$16"}</definedName>
    <definedName name="__PA3" localSheetId="8" hidden="1">{"'Sheet1'!$L$16"}</definedName>
    <definedName name="__PA3" localSheetId="7" hidden="1">{"'Sheet1'!$L$16"}</definedName>
    <definedName name="__PA3" localSheetId="9" hidden="1">{"'Sheet1'!$L$16"}</definedName>
    <definedName name="__PA3" localSheetId="10" hidden="1">{"'Sheet1'!$L$16"}</definedName>
    <definedName name="__PA3" localSheetId="12" hidden="1">{"'Sheet1'!$L$16"}</definedName>
    <definedName name="__PA3" localSheetId="11" hidden="1">{"'Sheet1'!$L$16"}</definedName>
    <definedName name="__PA3" localSheetId="13" hidden="1">{"'Sheet1'!$L$16"}</definedName>
    <definedName name="__PA3" localSheetId="14" hidden="1">{"'Sheet1'!$L$16"}</definedName>
    <definedName name="__PA3" hidden="1">{"'Sheet1'!$L$16"}</definedName>
    <definedName name="__Pl2" localSheetId="2" hidden="1">{"'Sheet1'!$L$16"}</definedName>
    <definedName name="__Pl2" localSheetId="3" hidden="1">{"'Sheet1'!$L$16"}</definedName>
    <definedName name="__Pl2" localSheetId="6" hidden="1">{"'Sheet1'!$L$16"}</definedName>
    <definedName name="__Pl2" localSheetId="8" hidden="1">{"'Sheet1'!$L$16"}</definedName>
    <definedName name="__Pl2" localSheetId="7" hidden="1">{"'Sheet1'!$L$16"}</definedName>
    <definedName name="__Pl2" localSheetId="9" hidden="1">{"'Sheet1'!$L$16"}</definedName>
    <definedName name="__Pl2" localSheetId="10" hidden="1">{"'Sheet1'!$L$16"}</definedName>
    <definedName name="__Pl2" localSheetId="12" hidden="1">{"'Sheet1'!$L$16"}</definedName>
    <definedName name="__Pl2" localSheetId="11" hidden="1">{"'Sheet1'!$L$16"}</definedName>
    <definedName name="__Pl2" localSheetId="13" hidden="1">{"'Sheet1'!$L$16"}</definedName>
    <definedName name="__Pl2" localSheetId="14" hidden="1">{"'Sheet1'!$L$16"}</definedName>
    <definedName name="__Pl2" hidden="1">{"'Sheet1'!$L$16"}</definedName>
    <definedName name="__Tru21" localSheetId="2" hidden="1">{"'Sheet1'!$L$16"}</definedName>
    <definedName name="__Tru21" localSheetId="3" hidden="1">{"'Sheet1'!$L$16"}</definedName>
    <definedName name="__Tru21" localSheetId="6" hidden="1">{"'Sheet1'!$L$16"}</definedName>
    <definedName name="__Tru21" localSheetId="8" hidden="1">{"'Sheet1'!$L$16"}</definedName>
    <definedName name="__Tru21" localSheetId="7" hidden="1">{"'Sheet1'!$L$16"}</definedName>
    <definedName name="__Tru21" localSheetId="9" hidden="1">{"'Sheet1'!$L$16"}</definedName>
    <definedName name="__Tru21" localSheetId="10" hidden="1">{"'Sheet1'!$L$16"}</definedName>
    <definedName name="__Tru21" localSheetId="12" hidden="1">{"'Sheet1'!$L$16"}</definedName>
    <definedName name="__Tru21" localSheetId="11" hidden="1">{"'Sheet1'!$L$16"}</definedName>
    <definedName name="__Tru21" localSheetId="13" hidden="1">{"'Sheet1'!$L$16"}</definedName>
    <definedName name="__Tru21" localSheetId="14" hidden="1">{"'Sheet1'!$L$16"}</definedName>
    <definedName name="__Tru21" hidden="1">{"'Sheet1'!$L$16"}</definedName>
    <definedName name="__tt3" localSheetId="2" hidden="1">{"'Sheet1'!$L$16"}</definedName>
    <definedName name="__tt3" localSheetId="3" hidden="1">{"'Sheet1'!$L$16"}</definedName>
    <definedName name="__tt3" localSheetId="6" hidden="1">{"'Sheet1'!$L$16"}</definedName>
    <definedName name="__tt3" localSheetId="8" hidden="1">{"'Sheet1'!$L$16"}</definedName>
    <definedName name="__tt3" localSheetId="7" hidden="1">{"'Sheet1'!$L$16"}</definedName>
    <definedName name="__tt3" localSheetId="9" hidden="1">{"'Sheet1'!$L$16"}</definedName>
    <definedName name="__tt3" localSheetId="10" hidden="1">{"'Sheet1'!$L$16"}</definedName>
    <definedName name="__tt3" localSheetId="12" hidden="1">{"'Sheet1'!$L$16"}</definedName>
    <definedName name="__tt3" localSheetId="11" hidden="1">{"'Sheet1'!$L$16"}</definedName>
    <definedName name="__tt3" localSheetId="13" hidden="1">{"'Sheet1'!$L$16"}</definedName>
    <definedName name="__tt3" localSheetId="14" hidden="1">{"'Sheet1'!$L$16"}</definedName>
    <definedName name="__tt3" hidden="1">{"'Sheet1'!$L$16"}</definedName>
    <definedName name="__TT31" localSheetId="2" hidden="1">{"'Sheet1'!$L$16"}</definedName>
    <definedName name="__TT31" localSheetId="3" hidden="1">{"'Sheet1'!$L$16"}</definedName>
    <definedName name="__TT31" localSheetId="6" hidden="1">{"'Sheet1'!$L$16"}</definedName>
    <definedName name="__TT31" localSheetId="8" hidden="1">{"'Sheet1'!$L$16"}</definedName>
    <definedName name="__TT31" localSheetId="7" hidden="1">{"'Sheet1'!$L$16"}</definedName>
    <definedName name="__TT31" localSheetId="9" hidden="1">{"'Sheet1'!$L$16"}</definedName>
    <definedName name="__TT31" localSheetId="10" hidden="1">{"'Sheet1'!$L$16"}</definedName>
    <definedName name="__TT31" localSheetId="12" hidden="1">{"'Sheet1'!$L$16"}</definedName>
    <definedName name="__TT31" localSheetId="11" hidden="1">{"'Sheet1'!$L$16"}</definedName>
    <definedName name="__TT31" localSheetId="13" hidden="1">{"'Sheet1'!$L$16"}</definedName>
    <definedName name="__TT31" localSheetId="14" hidden="1">{"'Sheet1'!$L$16"}</definedName>
    <definedName name="__TT31" hidden="1">{"'Sheet1'!$L$16"}</definedName>
    <definedName name="__vl2" localSheetId="2" hidden="1">{"'Sheet1'!$L$16"}</definedName>
    <definedName name="__vl2" localSheetId="3" hidden="1">{"'Sheet1'!$L$16"}</definedName>
    <definedName name="__vl2" localSheetId="6" hidden="1">{"'Sheet1'!$L$16"}</definedName>
    <definedName name="__vl2" localSheetId="8" hidden="1">{"'Sheet1'!$L$16"}</definedName>
    <definedName name="__vl2" localSheetId="7" hidden="1">{"'Sheet1'!$L$16"}</definedName>
    <definedName name="__vl2" localSheetId="9" hidden="1">{"'Sheet1'!$L$16"}</definedName>
    <definedName name="__vl2" localSheetId="10" hidden="1">{"'Sheet1'!$L$16"}</definedName>
    <definedName name="__vl2" localSheetId="12" hidden="1">{"'Sheet1'!$L$16"}</definedName>
    <definedName name="__vl2" localSheetId="11" hidden="1">{"'Sheet1'!$L$16"}</definedName>
    <definedName name="__vl2" localSheetId="13" hidden="1">{"'Sheet1'!$L$16"}</definedName>
    <definedName name="__vl2" localSheetId="14" hidden="1">{"'Sheet1'!$L$16"}</definedName>
    <definedName name="__vl2" hidden="1">{"'Sheet1'!$L$16"}</definedName>
    <definedName name="__VM2" localSheetId="2" hidden="1">{"'Sheet1'!$L$16"}</definedName>
    <definedName name="__VM2" localSheetId="3" hidden="1">{"'Sheet1'!$L$16"}</definedName>
    <definedName name="__VM2" localSheetId="6" hidden="1">{"'Sheet1'!$L$16"}</definedName>
    <definedName name="__VM2" localSheetId="8" hidden="1">{"'Sheet1'!$L$16"}</definedName>
    <definedName name="__VM2" localSheetId="7" hidden="1">{"'Sheet1'!$L$16"}</definedName>
    <definedName name="__VM2" localSheetId="9" hidden="1">{"'Sheet1'!$L$16"}</definedName>
    <definedName name="__VM2" localSheetId="10" hidden="1">{"'Sheet1'!$L$16"}</definedName>
    <definedName name="__VM2" localSheetId="12" hidden="1">{"'Sheet1'!$L$16"}</definedName>
    <definedName name="__VM2" localSheetId="11" hidden="1">{"'Sheet1'!$L$16"}</definedName>
    <definedName name="__VM2" localSheetId="13" hidden="1">{"'Sheet1'!$L$16"}</definedName>
    <definedName name="__VM2" localSheetId="14" hidden="1">{"'Sheet1'!$L$16"}</definedName>
    <definedName name="__VM2" hidden="1">{"'Sheet1'!$L$16"}</definedName>
    <definedName name="_ban2" localSheetId="2" hidden="1">{"'Sheet1'!$L$16"}</definedName>
    <definedName name="_ban2" localSheetId="3" hidden="1">{"'Sheet1'!$L$16"}</definedName>
    <definedName name="_ban2" localSheetId="6" hidden="1">{"'Sheet1'!$L$16"}</definedName>
    <definedName name="_ban2" localSheetId="8" hidden="1">{"'Sheet1'!$L$16"}</definedName>
    <definedName name="_ban2" localSheetId="7" hidden="1">{"'Sheet1'!$L$16"}</definedName>
    <definedName name="_ban2" localSheetId="9" hidden="1">{"'Sheet1'!$L$16"}</definedName>
    <definedName name="_ban2" localSheetId="10" hidden="1">{"'Sheet1'!$L$16"}</definedName>
    <definedName name="_ban2" localSheetId="12" hidden="1">{"'Sheet1'!$L$16"}</definedName>
    <definedName name="_ban2" localSheetId="11" hidden="1">{"'Sheet1'!$L$16"}</definedName>
    <definedName name="_ban2" localSheetId="13" hidden="1">{"'Sheet1'!$L$16"}</definedName>
    <definedName name="_ban2" localSheetId="14" hidden="1">{"'Sheet1'!$L$16"}</definedName>
    <definedName name="_ban2" hidden="1">{"'Sheet1'!$L$16"}</definedName>
    <definedName name="_cep1" localSheetId="2" hidden="1">{"'Sheet1'!$L$16"}</definedName>
    <definedName name="_cep1" localSheetId="3" hidden="1">{"'Sheet1'!$L$16"}</definedName>
    <definedName name="_cep1" localSheetId="6" hidden="1">{"'Sheet1'!$L$16"}</definedName>
    <definedName name="_cep1" localSheetId="8" hidden="1">{"'Sheet1'!$L$16"}</definedName>
    <definedName name="_cep1" localSheetId="7" hidden="1">{"'Sheet1'!$L$16"}</definedName>
    <definedName name="_cep1" localSheetId="9" hidden="1">{"'Sheet1'!$L$16"}</definedName>
    <definedName name="_cep1" localSheetId="10" hidden="1">{"'Sheet1'!$L$16"}</definedName>
    <definedName name="_cep1" localSheetId="12" hidden="1">{"'Sheet1'!$L$16"}</definedName>
    <definedName name="_cep1" localSheetId="11" hidden="1">{"'Sheet1'!$L$16"}</definedName>
    <definedName name="_cep1" localSheetId="13" hidden="1">{"'Sheet1'!$L$16"}</definedName>
    <definedName name="_cep1" localSheetId="14" hidden="1">{"'Sheet1'!$L$16"}</definedName>
    <definedName name="_cep1" hidden="1">{"'Sheet1'!$L$16"}</definedName>
    <definedName name="_Coc39" localSheetId="2" hidden="1">{"'Sheet1'!$L$16"}</definedName>
    <definedName name="_Coc39" localSheetId="3" hidden="1">{"'Sheet1'!$L$16"}</definedName>
    <definedName name="_Coc39" localSheetId="6" hidden="1">{"'Sheet1'!$L$16"}</definedName>
    <definedName name="_Coc39" localSheetId="8" hidden="1">{"'Sheet1'!$L$16"}</definedName>
    <definedName name="_Coc39" localSheetId="7" hidden="1">{"'Sheet1'!$L$16"}</definedName>
    <definedName name="_Coc39" localSheetId="9" hidden="1">{"'Sheet1'!$L$16"}</definedName>
    <definedName name="_Coc39" localSheetId="10" hidden="1">{"'Sheet1'!$L$16"}</definedName>
    <definedName name="_Coc39" localSheetId="12" hidden="1">{"'Sheet1'!$L$16"}</definedName>
    <definedName name="_Coc39" localSheetId="11" hidden="1">{"'Sheet1'!$L$16"}</definedName>
    <definedName name="_Coc39" localSheetId="13" hidden="1">{"'Sheet1'!$L$16"}</definedName>
    <definedName name="_Coc39" localSheetId="14" hidden="1">{"'Sheet1'!$L$16"}</definedName>
    <definedName name="_Coc39" hidden="1">{"'Sheet1'!$L$16"}</definedName>
    <definedName name="_xlnm._FilterDatabase" localSheetId="8" hidden="1">'Bieu 54 '!$A$14:$AE$88</definedName>
    <definedName name="_xlnm._FilterDatabase" localSheetId="7" hidden="1">'Bieu 54_Tan_NS'!$A$14:$AE$88</definedName>
    <definedName name="_Goi8" localSheetId="2" hidden="1">{"'Sheet1'!$L$16"}</definedName>
    <definedName name="_Goi8" localSheetId="3" hidden="1">{"'Sheet1'!$L$16"}</definedName>
    <definedName name="_Goi8" localSheetId="6" hidden="1">{"'Sheet1'!$L$16"}</definedName>
    <definedName name="_Goi8" localSheetId="8" hidden="1">{"'Sheet1'!$L$16"}</definedName>
    <definedName name="_Goi8" localSheetId="7" hidden="1">{"'Sheet1'!$L$16"}</definedName>
    <definedName name="_Goi8" localSheetId="9" hidden="1">{"'Sheet1'!$L$16"}</definedName>
    <definedName name="_Goi8" localSheetId="10" hidden="1">{"'Sheet1'!$L$16"}</definedName>
    <definedName name="_Goi8" localSheetId="12" hidden="1">{"'Sheet1'!$L$16"}</definedName>
    <definedName name="_Goi8" localSheetId="11" hidden="1">{"'Sheet1'!$L$16"}</definedName>
    <definedName name="_Goi8" localSheetId="13" hidden="1">{"'Sheet1'!$L$16"}</definedName>
    <definedName name="_Goi8" localSheetId="14" hidden="1">{"'Sheet1'!$L$16"}</definedName>
    <definedName name="_Goi8" hidden="1">{"'Sheet1'!$L$16"}</definedName>
    <definedName name="_h1" localSheetId="2" hidden="1">{"'Sheet1'!$L$16"}</definedName>
    <definedName name="_h1" localSheetId="3" hidden="1">{"'Sheet1'!$L$16"}</definedName>
    <definedName name="_h1" localSheetId="6" hidden="1">{"'Sheet1'!$L$16"}</definedName>
    <definedName name="_h1" localSheetId="8" hidden="1">{"'Sheet1'!$L$16"}</definedName>
    <definedName name="_h1" localSheetId="7" hidden="1">{"'Sheet1'!$L$16"}</definedName>
    <definedName name="_h1" localSheetId="9" hidden="1">{"'Sheet1'!$L$16"}</definedName>
    <definedName name="_h1" localSheetId="10" hidden="1">{"'Sheet1'!$L$16"}</definedName>
    <definedName name="_h1" localSheetId="12" hidden="1">{"'Sheet1'!$L$16"}</definedName>
    <definedName name="_h1" localSheetId="11" hidden="1">{"'Sheet1'!$L$16"}</definedName>
    <definedName name="_h1" localSheetId="13" hidden="1">{"'Sheet1'!$L$16"}</definedName>
    <definedName name="_h1" localSheetId="14" hidden="1">{"'Sheet1'!$L$16"}</definedName>
    <definedName name="_h1" hidden="1">{"'Sheet1'!$L$16"}</definedName>
    <definedName name="_h10" localSheetId="2" hidden="1">{#N/A,#N/A,FALSE,"Chi tiÆt"}</definedName>
    <definedName name="_h10" localSheetId="3" hidden="1">{#N/A,#N/A,FALSE,"Chi tiÆt"}</definedName>
    <definedName name="_h10" localSheetId="6" hidden="1">{#N/A,#N/A,FALSE,"Chi tiÆt"}</definedName>
    <definedName name="_h10" localSheetId="8" hidden="1">{#N/A,#N/A,FALSE,"Chi tiÆt"}</definedName>
    <definedName name="_h10" localSheetId="7" hidden="1">{#N/A,#N/A,FALSE,"Chi tiÆt"}</definedName>
    <definedName name="_h10" localSheetId="9" hidden="1">{#N/A,#N/A,FALSE,"Chi tiÆt"}</definedName>
    <definedName name="_h10" localSheetId="10" hidden="1">{#N/A,#N/A,FALSE,"Chi tiÆt"}</definedName>
    <definedName name="_h10" localSheetId="12" hidden="1">{#N/A,#N/A,FALSE,"Chi tiÆt"}</definedName>
    <definedName name="_h10" localSheetId="11" hidden="1">{#N/A,#N/A,FALSE,"Chi tiÆt"}</definedName>
    <definedName name="_h10" localSheetId="13" hidden="1">{#N/A,#N/A,FALSE,"Chi tiÆt"}</definedName>
    <definedName name="_h10" localSheetId="14" hidden="1">{#N/A,#N/A,FALSE,"Chi tiÆt"}</definedName>
    <definedName name="_h10" hidden="1">{#N/A,#N/A,FALSE,"Chi tiÆt"}</definedName>
    <definedName name="_h2" localSheetId="2" hidden="1">{"'Sheet1'!$L$16"}</definedName>
    <definedName name="_h2" localSheetId="3" hidden="1">{"'Sheet1'!$L$16"}</definedName>
    <definedName name="_h2" localSheetId="6" hidden="1">{"'Sheet1'!$L$16"}</definedName>
    <definedName name="_h2" localSheetId="8" hidden="1">{"'Sheet1'!$L$16"}</definedName>
    <definedName name="_h2" localSheetId="7" hidden="1">{"'Sheet1'!$L$16"}</definedName>
    <definedName name="_h2" localSheetId="9" hidden="1">{"'Sheet1'!$L$16"}</definedName>
    <definedName name="_h2" localSheetId="10" hidden="1">{"'Sheet1'!$L$16"}</definedName>
    <definedName name="_h2" localSheetId="12" hidden="1">{"'Sheet1'!$L$16"}</definedName>
    <definedName name="_h2" localSheetId="11" hidden="1">{"'Sheet1'!$L$16"}</definedName>
    <definedName name="_h2" localSheetId="13" hidden="1">{"'Sheet1'!$L$16"}</definedName>
    <definedName name="_h2" localSheetId="14" hidden="1">{"'Sheet1'!$L$16"}</definedName>
    <definedName name="_h2" hidden="1">{"'Sheet1'!$L$16"}</definedName>
    <definedName name="_h3" localSheetId="2" hidden="1">{"'Sheet1'!$L$16"}</definedName>
    <definedName name="_h3" localSheetId="3" hidden="1">{"'Sheet1'!$L$16"}</definedName>
    <definedName name="_h3" localSheetId="6" hidden="1">{"'Sheet1'!$L$16"}</definedName>
    <definedName name="_h3" localSheetId="8" hidden="1">{"'Sheet1'!$L$16"}</definedName>
    <definedName name="_h3" localSheetId="7" hidden="1">{"'Sheet1'!$L$16"}</definedName>
    <definedName name="_h3" localSheetId="9" hidden="1">{"'Sheet1'!$L$16"}</definedName>
    <definedName name="_h3" localSheetId="10" hidden="1">{"'Sheet1'!$L$16"}</definedName>
    <definedName name="_h3" localSheetId="12" hidden="1">{"'Sheet1'!$L$16"}</definedName>
    <definedName name="_h3" localSheetId="11" hidden="1">{"'Sheet1'!$L$16"}</definedName>
    <definedName name="_h3" localSheetId="13" hidden="1">{"'Sheet1'!$L$16"}</definedName>
    <definedName name="_h3" localSheetId="14" hidden="1">{"'Sheet1'!$L$16"}</definedName>
    <definedName name="_h3" hidden="1">{"'Sheet1'!$L$16"}</definedName>
    <definedName name="_h5" localSheetId="2" hidden="1">{"'Sheet1'!$L$16"}</definedName>
    <definedName name="_h5" localSheetId="3" hidden="1">{"'Sheet1'!$L$16"}</definedName>
    <definedName name="_h5" localSheetId="6" hidden="1">{"'Sheet1'!$L$16"}</definedName>
    <definedName name="_h5" localSheetId="8" hidden="1">{"'Sheet1'!$L$16"}</definedName>
    <definedName name="_h5" localSheetId="7" hidden="1">{"'Sheet1'!$L$16"}</definedName>
    <definedName name="_h5" localSheetId="9" hidden="1">{"'Sheet1'!$L$16"}</definedName>
    <definedName name="_h5" localSheetId="10" hidden="1">{"'Sheet1'!$L$16"}</definedName>
    <definedName name="_h5" localSheetId="12" hidden="1">{"'Sheet1'!$L$16"}</definedName>
    <definedName name="_h5" localSheetId="11" hidden="1">{"'Sheet1'!$L$16"}</definedName>
    <definedName name="_h5" localSheetId="13" hidden="1">{"'Sheet1'!$L$16"}</definedName>
    <definedName name="_h5" localSheetId="14" hidden="1">{"'Sheet1'!$L$16"}</definedName>
    <definedName name="_h5" hidden="1">{"'Sheet1'!$L$16"}</definedName>
    <definedName name="_h6" localSheetId="2" hidden="1">{"'Sheet1'!$L$16"}</definedName>
    <definedName name="_h6" localSheetId="3" hidden="1">{"'Sheet1'!$L$16"}</definedName>
    <definedName name="_h6" localSheetId="6" hidden="1">{"'Sheet1'!$L$16"}</definedName>
    <definedName name="_h6" localSheetId="8" hidden="1">{"'Sheet1'!$L$16"}</definedName>
    <definedName name="_h6" localSheetId="7" hidden="1">{"'Sheet1'!$L$16"}</definedName>
    <definedName name="_h6" localSheetId="9" hidden="1">{"'Sheet1'!$L$16"}</definedName>
    <definedName name="_h6" localSheetId="10" hidden="1">{"'Sheet1'!$L$16"}</definedName>
    <definedName name="_h6" localSheetId="12" hidden="1">{"'Sheet1'!$L$16"}</definedName>
    <definedName name="_h6" localSheetId="11" hidden="1">{"'Sheet1'!$L$16"}</definedName>
    <definedName name="_h6" localSheetId="13" hidden="1">{"'Sheet1'!$L$16"}</definedName>
    <definedName name="_h6" localSheetId="14" hidden="1">{"'Sheet1'!$L$16"}</definedName>
    <definedName name="_h6" hidden="1">{"'Sheet1'!$L$16"}</definedName>
    <definedName name="_h7" localSheetId="2" hidden="1">{"'Sheet1'!$L$16"}</definedName>
    <definedName name="_h7" localSheetId="3" hidden="1">{"'Sheet1'!$L$16"}</definedName>
    <definedName name="_h7" localSheetId="6" hidden="1">{"'Sheet1'!$L$16"}</definedName>
    <definedName name="_h7" localSheetId="8" hidden="1">{"'Sheet1'!$L$16"}</definedName>
    <definedName name="_h7" localSheetId="7" hidden="1">{"'Sheet1'!$L$16"}</definedName>
    <definedName name="_h7" localSheetId="9" hidden="1">{"'Sheet1'!$L$16"}</definedName>
    <definedName name="_h7" localSheetId="10" hidden="1">{"'Sheet1'!$L$16"}</definedName>
    <definedName name="_h7" localSheetId="12" hidden="1">{"'Sheet1'!$L$16"}</definedName>
    <definedName name="_h7" localSheetId="11" hidden="1">{"'Sheet1'!$L$16"}</definedName>
    <definedName name="_h7" localSheetId="13" hidden="1">{"'Sheet1'!$L$16"}</definedName>
    <definedName name="_h7" localSheetId="14" hidden="1">{"'Sheet1'!$L$16"}</definedName>
    <definedName name="_h7" hidden="1">{"'Sheet1'!$L$16"}</definedName>
    <definedName name="_h8" localSheetId="2" hidden="1">{"'Sheet1'!$L$16"}</definedName>
    <definedName name="_h8" localSheetId="3" hidden="1">{"'Sheet1'!$L$16"}</definedName>
    <definedName name="_h8" localSheetId="6" hidden="1">{"'Sheet1'!$L$16"}</definedName>
    <definedName name="_h8" localSheetId="8" hidden="1">{"'Sheet1'!$L$16"}</definedName>
    <definedName name="_h8" localSheetId="7" hidden="1">{"'Sheet1'!$L$16"}</definedName>
    <definedName name="_h8" localSheetId="9" hidden="1">{"'Sheet1'!$L$16"}</definedName>
    <definedName name="_h8" localSheetId="10" hidden="1">{"'Sheet1'!$L$16"}</definedName>
    <definedName name="_h8" localSheetId="12" hidden="1">{"'Sheet1'!$L$16"}</definedName>
    <definedName name="_h8" localSheetId="11" hidden="1">{"'Sheet1'!$L$16"}</definedName>
    <definedName name="_h8" localSheetId="13" hidden="1">{"'Sheet1'!$L$16"}</definedName>
    <definedName name="_h8" localSheetId="14" hidden="1">{"'Sheet1'!$L$16"}</definedName>
    <definedName name="_h8" hidden="1">{"'Sheet1'!$L$16"}</definedName>
    <definedName name="_h9" localSheetId="2" hidden="1">{"'Sheet1'!$L$16"}</definedName>
    <definedName name="_h9" localSheetId="3" hidden="1">{"'Sheet1'!$L$16"}</definedName>
    <definedName name="_h9" localSheetId="6" hidden="1">{"'Sheet1'!$L$16"}</definedName>
    <definedName name="_h9" localSheetId="8" hidden="1">{"'Sheet1'!$L$16"}</definedName>
    <definedName name="_h9" localSheetId="7" hidden="1">{"'Sheet1'!$L$16"}</definedName>
    <definedName name="_h9" localSheetId="9" hidden="1">{"'Sheet1'!$L$16"}</definedName>
    <definedName name="_h9" localSheetId="10" hidden="1">{"'Sheet1'!$L$16"}</definedName>
    <definedName name="_h9" localSheetId="12" hidden="1">{"'Sheet1'!$L$16"}</definedName>
    <definedName name="_h9" localSheetId="11" hidden="1">{"'Sheet1'!$L$16"}</definedName>
    <definedName name="_h9" localSheetId="13" hidden="1">{"'Sheet1'!$L$16"}</definedName>
    <definedName name="_h9" localSheetId="14" hidden="1">{"'Sheet1'!$L$16"}</definedName>
    <definedName name="_h9" hidden="1">{"'Sheet1'!$L$16"}</definedName>
    <definedName name="_HUY1" localSheetId="2" hidden="1">{"'Sheet1'!$L$16"}</definedName>
    <definedName name="_HUY1" localSheetId="3" hidden="1">{"'Sheet1'!$L$16"}</definedName>
    <definedName name="_HUY1" localSheetId="6" hidden="1">{"'Sheet1'!$L$16"}</definedName>
    <definedName name="_HUY1" localSheetId="8" hidden="1">{"'Sheet1'!$L$16"}</definedName>
    <definedName name="_HUY1" localSheetId="7" hidden="1">{"'Sheet1'!$L$16"}</definedName>
    <definedName name="_HUY1" localSheetId="9" hidden="1">{"'Sheet1'!$L$16"}</definedName>
    <definedName name="_HUY1" localSheetId="10" hidden="1">{"'Sheet1'!$L$16"}</definedName>
    <definedName name="_HUY1" localSheetId="12" hidden="1">{"'Sheet1'!$L$16"}</definedName>
    <definedName name="_HUY1" localSheetId="11" hidden="1">{"'Sheet1'!$L$16"}</definedName>
    <definedName name="_HUY1" localSheetId="13" hidden="1">{"'Sheet1'!$L$16"}</definedName>
    <definedName name="_HUY1" localSheetId="14" hidden="1">{"'Sheet1'!$L$16"}</definedName>
    <definedName name="_HUY1" hidden="1">{"'Sheet1'!$L$16"}</definedName>
    <definedName name="_HUY2" localSheetId="2" hidden="1">{"'Sheet1'!$L$16"}</definedName>
    <definedName name="_HUY2" localSheetId="3" hidden="1">{"'Sheet1'!$L$16"}</definedName>
    <definedName name="_HUY2" localSheetId="6" hidden="1">{"'Sheet1'!$L$16"}</definedName>
    <definedName name="_HUY2" localSheetId="8" hidden="1">{"'Sheet1'!$L$16"}</definedName>
    <definedName name="_HUY2" localSheetId="7" hidden="1">{"'Sheet1'!$L$16"}</definedName>
    <definedName name="_HUY2" localSheetId="9" hidden="1">{"'Sheet1'!$L$16"}</definedName>
    <definedName name="_HUY2" localSheetId="10" hidden="1">{"'Sheet1'!$L$16"}</definedName>
    <definedName name="_HUY2" localSheetId="12" hidden="1">{"'Sheet1'!$L$16"}</definedName>
    <definedName name="_HUY2" localSheetId="11" hidden="1">{"'Sheet1'!$L$16"}</definedName>
    <definedName name="_HUY2" localSheetId="13" hidden="1">{"'Sheet1'!$L$16"}</definedName>
    <definedName name="_HUY2" localSheetId="14" hidden="1">{"'Sheet1'!$L$16"}</definedName>
    <definedName name="_HUY2" hidden="1">{"'Sheet1'!$L$16"}</definedName>
    <definedName name="_Key1" localSheetId="6" hidden="1">#REF!</definedName>
    <definedName name="_Key1" localSheetId="8" hidden="1">#REF!</definedName>
    <definedName name="_Key1" localSheetId="7" hidden="1">#REF!</definedName>
    <definedName name="_Key1" localSheetId="9" hidden="1">#REF!</definedName>
    <definedName name="_Key1" localSheetId="10" hidden="1">#REF!</definedName>
    <definedName name="_Key1" localSheetId="12" hidden="1">#REF!</definedName>
    <definedName name="_Key1" localSheetId="11" hidden="1">#REF!</definedName>
    <definedName name="_Key1" hidden="1">#REF!</definedName>
    <definedName name="_Key2" localSheetId="6" hidden="1">#REF!</definedName>
    <definedName name="_Key2" localSheetId="8" hidden="1">#REF!</definedName>
    <definedName name="_Key2" localSheetId="7" hidden="1">#REF!</definedName>
    <definedName name="_Key2" localSheetId="9" hidden="1">#REF!</definedName>
    <definedName name="_Key2" localSheetId="10" hidden="1">#REF!</definedName>
    <definedName name="_Key2" localSheetId="12" hidden="1">#REF!</definedName>
    <definedName name="_Key2" localSheetId="11" hidden="1">#REF!</definedName>
    <definedName name="_Key2" hidden="1">#REF!</definedName>
    <definedName name="_Lan1" localSheetId="2" hidden="1">{"'Sheet1'!$L$16"}</definedName>
    <definedName name="_Lan1" localSheetId="3" hidden="1">{"'Sheet1'!$L$16"}</definedName>
    <definedName name="_Lan1" localSheetId="6" hidden="1">{"'Sheet1'!$L$16"}</definedName>
    <definedName name="_Lan1" localSheetId="8" hidden="1">{"'Sheet1'!$L$16"}</definedName>
    <definedName name="_Lan1" localSheetId="7" hidden="1">{"'Sheet1'!$L$16"}</definedName>
    <definedName name="_Lan1" localSheetId="9" hidden="1">{"'Sheet1'!$L$16"}</definedName>
    <definedName name="_Lan1" localSheetId="10" hidden="1">{"'Sheet1'!$L$16"}</definedName>
    <definedName name="_Lan1" localSheetId="12" hidden="1">{"'Sheet1'!$L$16"}</definedName>
    <definedName name="_Lan1" localSheetId="11" hidden="1">{"'Sheet1'!$L$16"}</definedName>
    <definedName name="_Lan1" localSheetId="13" hidden="1">{"'Sheet1'!$L$16"}</definedName>
    <definedName name="_Lan1" localSheetId="14" hidden="1">{"'Sheet1'!$L$16"}</definedName>
    <definedName name="_Lan1" hidden="1">{"'Sheet1'!$L$16"}</definedName>
    <definedName name="_LAN3" localSheetId="2" hidden="1">{"'Sheet1'!$L$16"}</definedName>
    <definedName name="_LAN3" localSheetId="3" hidden="1">{"'Sheet1'!$L$16"}</definedName>
    <definedName name="_LAN3" localSheetId="6" hidden="1">{"'Sheet1'!$L$16"}</definedName>
    <definedName name="_LAN3" localSheetId="8" hidden="1">{"'Sheet1'!$L$16"}</definedName>
    <definedName name="_LAN3" localSheetId="7" hidden="1">{"'Sheet1'!$L$16"}</definedName>
    <definedName name="_LAN3" localSheetId="9" hidden="1">{"'Sheet1'!$L$16"}</definedName>
    <definedName name="_LAN3" localSheetId="10" hidden="1">{"'Sheet1'!$L$16"}</definedName>
    <definedName name="_LAN3" localSheetId="12" hidden="1">{"'Sheet1'!$L$16"}</definedName>
    <definedName name="_LAN3" localSheetId="11" hidden="1">{"'Sheet1'!$L$16"}</definedName>
    <definedName name="_LAN3" localSheetId="13" hidden="1">{"'Sheet1'!$L$16"}</definedName>
    <definedName name="_LAN3" localSheetId="14" hidden="1">{"'Sheet1'!$L$16"}</definedName>
    <definedName name="_LAN3" hidden="1">{"'Sheet1'!$L$16"}</definedName>
    <definedName name="_lk2" localSheetId="2" hidden="1">{"'Sheet1'!$L$16"}</definedName>
    <definedName name="_lk2" localSheetId="3" hidden="1">{"'Sheet1'!$L$16"}</definedName>
    <definedName name="_lk2" localSheetId="6" hidden="1">{"'Sheet1'!$L$16"}</definedName>
    <definedName name="_lk2" localSheetId="8" hidden="1">{"'Sheet1'!$L$16"}</definedName>
    <definedName name="_lk2" localSheetId="7" hidden="1">{"'Sheet1'!$L$16"}</definedName>
    <definedName name="_lk2" localSheetId="9" hidden="1">{"'Sheet1'!$L$16"}</definedName>
    <definedName name="_lk2" localSheetId="10" hidden="1">{"'Sheet1'!$L$16"}</definedName>
    <definedName name="_lk2" localSheetId="12" hidden="1">{"'Sheet1'!$L$16"}</definedName>
    <definedName name="_lk2" localSheetId="11" hidden="1">{"'Sheet1'!$L$16"}</definedName>
    <definedName name="_lk2" localSheetId="13" hidden="1">{"'Sheet1'!$L$16"}</definedName>
    <definedName name="_lk2" localSheetId="14" hidden="1">{"'Sheet1'!$L$16"}</definedName>
    <definedName name="_lk2" hidden="1">{"'Sheet1'!$L$16"}</definedName>
    <definedName name="_NSO2" localSheetId="2" hidden="1">{"'Sheet1'!$L$16"}</definedName>
    <definedName name="_NSO2" localSheetId="3" hidden="1">{"'Sheet1'!$L$16"}</definedName>
    <definedName name="_NSO2" localSheetId="6" hidden="1">{"'Sheet1'!$L$16"}</definedName>
    <definedName name="_NSO2" localSheetId="8" hidden="1">{"'Sheet1'!$L$16"}</definedName>
    <definedName name="_NSO2" localSheetId="7" hidden="1">{"'Sheet1'!$L$16"}</definedName>
    <definedName name="_NSO2" localSheetId="9" hidden="1">{"'Sheet1'!$L$16"}</definedName>
    <definedName name="_NSO2" localSheetId="10" hidden="1">{"'Sheet1'!$L$16"}</definedName>
    <definedName name="_NSO2" localSheetId="12" hidden="1">{"'Sheet1'!$L$16"}</definedName>
    <definedName name="_NSO2" localSheetId="11" hidden="1">{"'Sheet1'!$L$16"}</definedName>
    <definedName name="_NSO2" localSheetId="13" hidden="1">{"'Sheet1'!$L$16"}</definedName>
    <definedName name="_NSO2" localSheetId="14" hidden="1">{"'Sheet1'!$L$16"}</definedName>
    <definedName name="_NSO2" hidden="1">{"'Sheet1'!$L$16"}</definedName>
    <definedName name="_Order1" hidden="1">255</definedName>
    <definedName name="_Order2" hidden="1">255</definedName>
    <definedName name="_PA3" localSheetId="2" hidden="1">{"'Sheet1'!$L$16"}</definedName>
    <definedName name="_PA3" localSheetId="3" hidden="1">{"'Sheet1'!$L$16"}</definedName>
    <definedName name="_PA3" localSheetId="6" hidden="1">{"'Sheet1'!$L$16"}</definedName>
    <definedName name="_PA3" localSheetId="8" hidden="1">{"'Sheet1'!$L$16"}</definedName>
    <definedName name="_PA3" localSheetId="7" hidden="1">{"'Sheet1'!$L$16"}</definedName>
    <definedName name="_PA3" localSheetId="9" hidden="1">{"'Sheet1'!$L$16"}</definedName>
    <definedName name="_PA3" localSheetId="10" hidden="1">{"'Sheet1'!$L$16"}</definedName>
    <definedName name="_PA3" localSheetId="12" hidden="1">{"'Sheet1'!$L$16"}</definedName>
    <definedName name="_PA3" localSheetId="11" hidden="1">{"'Sheet1'!$L$16"}</definedName>
    <definedName name="_PA3" localSheetId="13" hidden="1">{"'Sheet1'!$L$16"}</definedName>
    <definedName name="_PA3" localSheetId="14" hidden="1">{"'Sheet1'!$L$16"}</definedName>
    <definedName name="_PA3" hidden="1">{"'Sheet1'!$L$16"}</definedName>
    <definedName name="_Pl2" localSheetId="2" hidden="1">{"'Sheet1'!$L$16"}</definedName>
    <definedName name="_Pl2" localSheetId="3" hidden="1">{"'Sheet1'!$L$16"}</definedName>
    <definedName name="_Pl2" localSheetId="6" hidden="1">{"'Sheet1'!$L$16"}</definedName>
    <definedName name="_Pl2" localSheetId="8" hidden="1">{"'Sheet1'!$L$16"}</definedName>
    <definedName name="_Pl2" localSheetId="7" hidden="1">{"'Sheet1'!$L$16"}</definedName>
    <definedName name="_Pl2" localSheetId="9" hidden="1">{"'Sheet1'!$L$16"}</definedName>
    <definedName name="_Pl2" localSheetId="10" hidden="1">{"'Sheet1'!$L$16"}</definedName>
    <definedName name="_Pl2" localSheetId="12" hidden="1">{"'Sheet1'!$L$16"}</definedName>
    <definedName name="_Pl2" localSheetId="11" hidden="1">{"'Sheet1'!$L$16"}</definedName>
    <definedName name="_Pl2" localSheetId="13" hidden="1">{"'Sheet1'!$L$16"}</definedName>
    <definedName name="_Pl2" localSheetId="14" hidden="1">{"'Sheet1'!$L$16"}</definedName>
    <definedName name="_Pl2" hidden="1">{"'Sheet1'!$L$16"}</definedName>
    <definedName name="_Sort" localSheetId="6" hidden="1">#REF!</definedName>
    <definedName name="_Sort" localSheetId="8" hidden="1">#REF!</definedName>
    <definedName name="_Sort" localSheetId="7" hidden="1">#REF!</definedName>
    <definedName name="_Sort" localSheetId="9" hidden="1">#REF!</definedName>
    <definedName name="_Sort" localSheetId="10" hidden="1">#REF!</definedName>
    <definedName name="_Sort" localSheetId="12" hidden="1">#REF!</definedName>
    <definedName name="_Sort" localSheetId="11" hidden="1">#REF!</definedName>
    <definedName name="_Sort" hidden="1">#REF!</definedName>
    <definedName name="_Tru21" localSheetId="2" hidden="1">{"'Sheet1'!$L$16"}</definedName>
    <definedName name="_Tru21" localSheetId="3" hidden="1">{"'Sheet1'!$L$16"}</definedName>
    <definedName name="_Tru21" localSheetId="6" hidden="1">{"'Sheet1'!$L$16"}</definedName>
    <definedName name="_Tru21" localSheetId="8" hidden="1">{"'Sheet1'!$L$16"}</definedName>
    <definedName name="_Tru21" localSheetId="7" hidden="1">{"'Sheet1'!$L$16"}</definedName>
    <definedName name="_Tru21" localSheetId="9" hidden="1">{"'Sheet1'!$L$16"}</definedName>
    <definedName name="_Tru21" localSheetId="10" hidden="1">{"'Sheet1'!$L$16"}</definedName>
    <definedName name="_Tru21" localSheetId="12" hidden="1">{"'Sheet1'!$L$16"}</definedName>
    <definedName name="_Tru21" localSheetId="11" hidden="1">{"'Sheet1'!$L$16"}</definedName>
    <definedName name="_Tru21" localSheetId="13" hidden="1">{"'Sheet1'!$L$16"}</definedName>
    <definedName name="_Tru21" localSheetId="14" hidden="1">{"'Sheet1'!$L$16"}</definedName>
    <definedName name="_Tru21" hidden="1">{"'Sheet1'!$L$16"}</definedName>
    <definedName name="_tt3" localSheetId="2" hidden="1">{"'Sheet1'!$L$16"}</definedName>
    <definedName name="_tt3" localSheetId="3" hidden="1">{"'Sheet1'!$L$16"}</definedName>
    <definedName name="_tt3" localSheetId="6" hidden="1">{"'Sheet1'!$L$16"}</definedName>
    <definedName name="_tt3" localSheetId="8" hidden="1">{"'Sheet1'!$L$16"}</definedName>
    <definedName name="_tt3" localSheetId="7" hidden="1">{"'Sheet1'!$L$16"}</definedName>
    <definedName name="_tt3" localSheetId="9" hidden="1">{"'Sheet1'!$L$16"}</definedName>
    <definedName name="_tt3" localSheetId="10" hidden="1">{"'Sheet1'!$L$16"}</definedName>
    <definedName name="_tt3" localSheetId="12" hidden="1">{"'Sheet1'!$L$16"}</definedName>
    <definedName name="_tt3" localSheetId="11" hidden="1">{"'Sheet1'!$L$16"}</definedName>
    <definedName name="_tt3" localSheetId="13" hidden="1">{"'Sheet1'!$L$16"}</definedName>
    <definedName name="_tt3" localSheetId="14" hidden="1">{"'Sheet1'!$L$16"}</definedName>
    <definedName name="_tt3" hidden="1">{"'Sheet1'!$L$16"}</definedName>
    <definedName name="_TT31" localSheetId="2" hidden="1">{"'Sheet1'!$L$16"}</definedName>
    <definedName name="_TT31" localSheetId="3" hidden="1">{"'Sheet1'!$L$16"}</definedName>
    <definedName name="_TT31" localSheetId="6" hidden="1">{"'Sheet1'!$L$16"}</definedName>
    <definedName name="_TT31" localSheetId="8" hidden="1">{"'Sheet1'!$L$16"}</definedName>
    <definedName name="_TT31" localSheetId="7" hidden="1">{"'Sheet1'!$L$16"}</definedName>
    <definedName name="_TT31" localSheetId="9" hidden="1">{"'Sheet1'!$L$16"}</definedName>
    <definedName name="_TT31" localSheetId="10" hidden="1">{"'Sheet1'!$L$16"}</definedName>
    <definedName name="_TT31" localSheetId="12" hidden="1">{"'Sheet1'!$L$16"}</definedName>
    <definedName name="_TT31" localSheetId="11" hidden="1">{"'Sheet1'!$L$16"}</definedName>
    <definedName name="_TT31" localSheetId="13" hidden="1">{"'Sheet1'!$L$16"}</definedName>
    <definedName name="_TT31" localSheetId="14" hidden="1">{"'Sheet1'!$L$16"}</definedName>
    <definedName name="_TT31" hidden="1">{"'Sheet1'!$L$16"}</definedName>
    <definedName name="_vl2" localSheetId="2" hidden="1">{"'Sheet1'!$L$16"}</definedName>
    <definedName name="_vl2" localSheetId="3" hidden="1">{"'Sheet1'!$L$16"}</definedName>
    <definedName name="_vl2" localSheetId="6" hidden="1">{"'Sheet1'!$L$16"}</definedName>
    <definedName name="_vl2" localSheetId="8" hidden="1">{"'Sheet1'!$L$16"}</definedName>
    <definedName name="_vl2" localSheetId="7" hidden="1">{"'Sheet1'!$L$16"}</definedName>
    <definedName name="_vl2" localSheetId="9" hidden="1">{"'Sheet1'!$L$16"}</definedName>
    <definedName name="_vl2" localSheetId="10" hidden="1">{"'Sheet1'!$L$16"}</definedName>
    <definedName name="_vl2" localSheetId="12" hidden="1">{"'Sheet1'!$L$16"}</definedName>
    <definedName name="_vl2" localSheetId="11" hidden="1">{"'Sheet1'!$L$16"}</definedName>
    <definedName name="_vl2" localSheetId="13" hidden="1">{"'Sheet1'!$L$16"}</definedName>
    <definedName name="_vl2" localSheetId="14" hidden="1">{"'Sheet1'!$L$16"}</definedName>
    <definedName name="_vl2" hidden="1">{"'Sheet1'!$L$16"}</definedName>
    <definedName name="_VM2" localSheetId="2" hidden="1">{"'Sheet1'!$L$16"}</definedName>
    <definedName name="_VM2" localSheetId="3" hidden="1">{"'Sheet1'!$L$16"}</definedName>
    <definedName name="_VM2" localSheetId="6" hidden="1">{"'Sheet1'!$L$16"}</definedName>
    <definedName name="_VM2" localSheetId="8" hidden="1">{"'Sheet1'!$L$16"}</definedName>
    <definedName name="_VM2" localSheetId="7" hidden="1">{"'Sheet1'!$L$16"}</definedName>
    <definedName name="_VM2" localSheetId="9" hidden="1">{"'Sheet1'!$L$16"}</definedName>
    <definedName name="_VM2" localSheetId="10" hidden="1">{"'Sheet1'!$L$16"}</definedName>
    <definedName name="_VM2" localSheetId="12" hidden="1">{"'Sheet1'!$L$16"}</definedName>
    <definedName name="_VM2" localSheetId="11" hidden="1">{"'Sheet1'!$L$16"}</definedName>
    <definedName name="_VM2" localSheetId="13" hidden="1">{"'Sheet1'!$L$16"}</definedName>
    <definedName name="_VM2" localSheetId="14" hidden="1">{"'Sheet1'!$L$16"}</definedName>
    <definedName name="_VM2" hidden="1">{"'Sheet1'!$L$16"}</definedName>
    <definedName name="â" localSheetId="2" hidden="1">{"'Sheet1'!$L$16"}</definedName>
    <definedName name="â" localSheetId="3" hidden="1">{"'Sheet1'!$L$16"}</definedName>
    <definedName name="â" localSheetId="6" hidden="1">{"'Sheet1'!$L$16"}</definedName>
    <definedName name="â" localSheetId="8" hidden="1">{"'Sheet1'!$L$16"}</definedName>
    <definedName name="â" localSheetId="7" hidden="1">{"'Sheet1'!$L$16"}</definedName>
    <definedName name="â" localSheetId="9" hidden="1">{"'Sheet1'!$L$16"}</definedName>
    <definedName name="â" localSheetId="10" hidden="1">{"'Sheet1'!$L$16"}</definedName>
    <definedName name="â" localSheetId="12" hidden="1">{"'Sheet1'!$L$16"}</definedName>
    <definedName name="â" localSheetId="11" hidden="1">{"'Sheet1'!$L$16"}</definedName>
    <definedName name="â" localSheetId="13" hidden="1">{"'Sheet1'!$L$16"}</definedName>
    <definedName name="â" localSheetId="14" hidden="1">{"'Sheet1'!$L$16"}</definedName>
    <definedName name="â" hidden="1">{"'Sheet1'!$L$16"}</definedName>
    <definedName name="AccessDatabase" hidden="1">"C:\My Documents\LeBinh\Xls\VP Cong ty\FORM.mdb"</definedName>
    <definedName name="ADADADD" localSheetId="2" hidden="1">{"'Sheet1'!$L$16"}</definedName>
    <definedName name="ADADADD" localSheetId="3" hidden="1">{"'Sheet1'!$L$16"}</definedName>
    <definedName name="ADADADD" localSheetId="6" hidden="1">{"'Sheet1'!$L$16"}</definedName>
    <definedName name="ADADADD" localSheetId="8" hidden="1">{"'Sheet1'!$L$16"}</definedName>
    <definedName name="ADADADD" localSheetId="7" hidden="1">{"'Sheet1'!$L$16"}</definedName>
    <definedName name="ADADADD" localSheetId="9" hidden="1">{"'Sheet1'!$L$16"}</definedName>
    <definedName name="ADADADD" localSheetId="10" hidden="1">{"'Sheet1'!$L$16"}</definedName>
    <definedName name="ADADADD" localSheetId="12" hidden="1">{"'Sheet1'!$L$16"}</definedName>
    <definedName name="ADADADD" localSheetId="11" hidden="1">{"'Sheet1'!$L$16"}</definedName>
    <definedName name="ADADADD" localSheetId="13" hidden="1">{"'Sheet1'!$L$16"}</definedName>
    <definedName name="ADADADD" localSheetId="14" hidden="1">{"'Sheet1'!$L$16"}</definedName>
    <definedName name="ADADADD" hidden="1">{"'Sheet1'!$L$16"}</definedName>
    <definedName name="anscount" hidden="1">6</definedName>
    <definedName name="ATGT" localSheetId="2" hidden="1">{"'Sheet1'!$L$16"}</definedName>
    <definedName name="ATGT" localSheetId="3" hidden="1">{"'Sheet1'!$L$16"}</definedName>
    <definedName name="ATGT" localSheetId="6" hidden="1">{"'Sheet1'!$L$16"}</definedName>
    <definedName name="ATGT" localSheetId="8" hidden="1">{"'Sheet1'!$L$16"}</definedName>
    <definedName name="ATGT" localSheetId="7" hidden="1">{"'Sheet1'!$L$16"}</definedName>
    <definedName name="ATGT" localSheetId="9" hidden="1">{"'Sheet1'!$L$16"}</definedName>
    <definedName name="ATGT" localSheetId="10" hidden="1">{"'Sheet1'!$L$16"}</definedName>
    <definedName name="ATGT" localSheetId="12" hidden="1">{"'Sheet1'!$L$16"}</definedName>
    <definedName name="ATGT" localSheetId="11" hidden="1">{"'Sheet1'!$L$16"}</definedName>
    <definedName name="ATGT" localSheetId="13" hidden="1">{"'Sheet1'!$L$16"}</definedName>
    <definedName name="ATGT" localSheetId="14" hidden="1">{"'Sheet1'!$L$16"}</definedName>
    <definedName name="ATGT" hidden="1">{"'Sheet1'!$L$16"}</definedName>
    <definedName name="b" localSheetId="2" hidden="1">{"'Sheet1'!$L$16"}</definedName>
    <definedName name="b" localSheetId="3" hidden="1">{"'Sheet1'!$L$16"}</definedName>
    <definedName name="b" localSheetId="6" hidden="1">{"'Sheet1'!$L$16"}</definedName>
    <definedName name="b" localSheetId="8" hidden="1">{"'Sheet1'!$L$16"}</definedName>
    <definedName name="b" localSheetId="7" hidden="1">{"'Sheet1'!$L$16"}</definedName>
    <definedName name="b" localSheetId="9" hidden="1">{"'Sheet1'!$L$16"}</definedName>
    <definedName name="b" localSheetId="10" hidden="1">{"'Sheet1'!$L$16"}</definedName>
    <definedName name="b" localSheetId="12" hidden="1">{"'Sheet1'!$L$16"}</definedName>
    <definedName name="b" localSheetId="11" hidden="1">{"'Sheet1'!$L$16"}</definedName>
    <definedName name="b" localSheetId="13" hidden="1">{"'Sheet1'!$L$16"}</definedName>
    <definedName name="b" localSheetId="14" hidden="1">{"'Sheet1'!$L$16"}</definedName>
    <definedName name="b" hidden="1">{"'Sheet1'!$L$16"}</definedName>
    <definedName name="BCBo" localSheetId="2" hidden="1">{"'Sheet1'!$L$16"}</definedName>
    <definedName name="BCBo" localSheetId="3" hidden="1">{"'Sheet1'!$L$16"}</definedName>
    <definedName name="BCBo" localSheetId="6" hidden="1">{"'Sheet1'!$L$16"}</definedName>
    <definedName name="BCBo" localSheetId="8" hidden="1">{"'Sheet1'!$L$16"}</definedName>
    <definedName name="BCBo" localSheetId="7" hidden="1">{"'Sheet1'!$L$16"}</definedName>
    <definedName name="BCBo" localSheetId="9" hidden="1">{"'Sheet1'!$L$16"}</definedName>
    <definedName name="BCBo" localSheetId="10" hidden="1">{"'Sheet1'!$L$16"}</definedName>
    <definedName name="BCBo" localSheetId="12" hidden="1">{"'Sheet1'!$L$16"}</definedName>
    <definedName name="BCBo" localSheetId="11" hidden="1">{"'Sheet1'!$L$16"}</definedName>
    <definedName name="BCBo" localSheetId="13" hidden="1">{"'Sheet1'!$L$16"}</definedName>
    <definedName name="BCBo" localSheetId="14" hidden="1">{"'Sheet1'!$L$16"}</definedName>
    <definedName name="BCBo" hidden="1">{"'Sheet1'!$L$16"}</definedName>
    <definedName name="btnm3" localSheetId="2" hidden="1">{"'Sheet1'!$L$16"}</definedName>
    <definedName name="btnm3" localSheetId="3" hidden="1">{"'Sheet1'!$L$16"}</definedName>
    <definedName name="btnm3" localSheetId="6" hidden="1">{"'Sheet1'!$L$16"}</definedName>
    <definedName name="btnm3" localSheetId="8" hidden="1">{"'Sheet1'!$L$16"}</definedName>
    <definedName name="btnm3" localSheetId="7" hidden="1">{"'Sheet1'!$L$16"}</definedName>
    <definedName name="btnm3" localSheetId="9" hidden="1">{"'Sheet1'!$L$16"}</definedName>
    <definedName name="btnm3" localSheetId="10" hidden="1">{"'Sheet1'!$L$16"}</definedName>
    <definedName name="btnm3" localSheetId="12" hidden="1">{"'Sheet1'!$L$16"}</definedName>
    <definedName name="btnm3" localSheetId="11" hidden="1">{"'Sheet1'!$L$16"}</definedName>
    <definedName name="btnm3" localSheetId="13" hidden="1">{"'Sheet1'!$L$16"}</definedName>
    <definedName name="btnm3" localSheetId="14" hidden="1">{"'Sheet1'!$L$16"}</definedName>
    <definedName name="btnm3" hidden="1">{"'Sheet1'!$L$16"}</definedName>
    <definedName name="chitietbgiang2" localSheetId="2" hidden="1">{"'Sheet1'!$L$16"}</definedName>
    <definedName name="chitietbgiang2" localSheetId="3" hidden="1">{"'Sheet1'!$L$16"}</definedName>
    <definedName name="chitietbgiang2" localSheetId="6" hidden="1">{"'Sheet1'!$L$16"}</definedName>
    <definedName name="chitietbgiang2" localSheetId="8" hidden="1">{"'Sheet1'!$L$16"}</definedName>
    <definedName name="chitietbgiang2" localSheetId="7" hidden="1">{"'Sheet1'!$L$16"}</definedName>
    <definedName name="chitietbgiang2" localSheetId="9" hidden="1">{"'Sheet1'!$L$16"}</definedName>
    <definedName name="chitietbgiang2" localSheetId="10" hidden="1">{"'Sheet1'!$L$16"}</definedName>
    <definedName name="chitietbgiang2" localSheetId="12" hidden="1">{"'Sheet1'!$L$16"}</definedName>
    <definedName name="chitietbgiang2" localSheetId="11" hidden="1">{"'Sheet1'!$L$16"}</definedName>
    <definedName name="chitietbgiang2" localSheetId="13" hidden="1">{"'Sheet1'!$L$16"}</definedName>
    <definedName name="chitietbgiang2" localSheetId="14" hidden="1">{"'Sheet1'!$L$16"}</definedName>
    <definedName name="chitietbgiang2" hidden="1">{"'Sheet1'!$L$16"}</definedName>
    <definedName name="chuong_phuluc_48_name" localSheetId="2">'Bieu 48'!$B$2</definedName>
    <definedName name="chuong_phuluc_50_name" localSheetId="3">'Bieu 50'!$B$2</definedName>
    <definedName name="chuong_phuluc_51_name" localSheetId="4">'Bieu 51'!$B$2</definedName>
    <definedName name="chuong_phuluc_52_name" localSheetId="5">'bieu 52'!$A$2</definedName>
    <definedName name="chuong_phuluc_53_name" localSheetId="6">'bieu 53'!$A$2</definedName>
    <definedName name="chuong_phuluc_58_name" localSheetId="9">'Bieu 58'!$A$2</definedName>
    <definedName name="chuong_phuluc_59_name" localSheetId="10">'Bieu 59'!$A$2</definedName>
    <definedName name="Coc_60" localSheetId="2" hidden="1">{"'Sheet1'!$L$16"}</definedName>
    <definedName name="Coc_60" localSheetId="3" hidden="1">{"'Sheet1'!$L$16"}</definedName>
    <definedName name="Coc_60" localSheetId="6" hidden="1">{"'Sheet1'!$L$16"}</definedName>
    <definedName name="Coc_60" localSheetId="8" hidden="1">{"'Sheet1'!$L$16"}</definedName>
    <definedName name="Coc_60" localSheetId="7" hidden="1">{"'Sheet1'!$L$16"}</definedName>
    <definedName name="Coc_60" localSheetId="9" hidden="1">{"'Sheet1'!$L$16"}</definedName>
    <definedName name="Coc_60" localSheetId="10" hidden="1">{"'Sheet1'!$L$16"}</definedName>
    <definedName name="Coc_60" localSheetId="12" hidden="1">{"'Sheet1'!$L$16"}</definedName>
    <definedName name="Coc_60" localSheetId="11" hidden="1">{"'Sheet1'!$L$16"}</definedName>
    <definedName name="Coc_60" localSheetId="13" hidden="1">{"'Sheet1'!$L$16"}</definedName>
    <definedName name="Coc_60" localSheetId="14" hidden="1">{"'Sheet1'!$L$16"}</definedName>
    <definedName name="Coc_60" hidden="1">{"'Sheet1'!$L$16"}</definedName>
    <definedName name="Code" localSheetId="6" hidden="1">#REF!</definedName>
    <definedName name="Code" localSheetId="8" hidden="1">#REF!</definedName>
    <definedName name="Code" localSheetId="7" hidden="1">#REF!</definedName>
    <definedName name="Code" localSheetId="9" hidden="1">#REF!</definedName>
    <definedName name="Code" localSheetId="10" hidden="1">#REF!</definedName>
    <definedName name="Code" localSheetId="12" hidden="1">#REF!</definedName>
    <definedName name="Code" localSheetId="11" hidden="1">#REF!</definedName>
    <definedName name="Code" hidden="1">#REF!</definedName>
    <definedName name="CTCT1" localSheetId="2" hidden="1">{"'Sheet1'!$L$16"}</definedName>
    <definedName name="CTCT1" localSheetId="3" hidden="1">{"'Sheet1'!$L$16"}</definedName>
    <definedName name="CTCT1" localSheetId="6" hidden="1">{"'Sheet1'!$L$16"}</definedName>
    <definedName name="CTCT1" localSheetId="8" hidden="1">{"'Sheet1'!$L$16"}</definedName>
    <definedName name="CTCT1" localSheetId="7" hidden="1">{"'Sheet1'!$L$16"}</definedName>
    <definedName name="CTCT1" localSheetId="9" hidden="1">{"'Sheet1'!$L$16"}</definedName>
    <definedName name="CTCT1" localSheetId="10" hidden="1">{"'Sheet1'!$L$16"}</definedName>
    <definedName name="CTCT1" localSheetId="12" hidden="1">{"'Sheet1'!$L$16"}</definedName>
    <definedName name="CTCT1" localSheetId="11" hidden="1">{"'Sheet1'!$L$16"}</definedName>
    <definedName name="CTCT1" localSheetId="13" hidden="1">{"'Sheet1'!$L$16"}</definedName>
    <definedName name="CTCT1" localSheetId="14" hidden="1">{"'Sheet1'!$L$16"}</definedName>
    <definedName name="CTCT1" hidden="1">{"'Sheet1'!$L$16"}</definedName>
    <definedName name="d" localSheetId="2" hidden="1">{"'Sheet1'!$L$16"}</definedName>
    <definedName name="d" localSheetId="3" hidden="1">{"'Sheet1'!$L$16"}</definedName>
    <definedName name="d" localSheetId="6" hidden="1">{"'Sheet1'!$L$16"}</definedName>
    <definedName name="d" localSheetId="8" hidden="1">{"'Sheet1'!$L$16"}</definedName>
    <definedName name="d" localSheetId="7" hidden="1">{"'Sheet1'!$L$16"}</definedName>
    <definedName name="d" localSheetId="9" hidden="1">{"'Sheet1'!$L$16"}</definedName>
    <definedName name="d" localSheetId="10" hidden="1">{"'Sheet1'!$L$16"}</definedName>
    <definedName name="d" localSheetId="12" hidden="1">{"'Sheet1'!$L$16"}</definedName>
    <definedName name="d" localSheetId="11" hidden="1">{"'Sheet1'!$L$16"}</definedName>
    <definedName name="d" localSheetId="13" hidden="1">{"'Sheet1'!$L$16"}</definedName>
    <definedName name="d" localSheetId="14" hidden="1">{"'Sheet1'!$L$16"}</definedName>
    <definedName name="d" hidden="1">{"'Sheet1'!$L$16"}</definedName>
    <definedName name="data1" localSheetId="6" hidden="1">#REF!</definedName>
    <definedName name="data1" localSheetId="8" hidden="1">#REF!</definedName>
    <definedName name="data1" localSheetId="7" hidden="1">#REF!</definedName>
    <definedName name="data1" localSheetId="9" hidden="1">#REF!</definedName>
    <definedName name="data1" localSheetId="10" hidden="1">#REF!</definedName>
    <definedName name="data1" localSheetId="12" hidden="1">#REF!</definedName>
    <definedName name="data1" localSheetId="11" hidden="1">#REF!</definedName>
    <definedName name="data1" hidden="1">#REF!</definedName>
    <definedName name="data2" localSheetId="6" hidden="1">#REF!</definedName>
    <definedName name="data2" localSheetId="8" hidden="1">#REF!</definedName>
    <definedName name="data2" localSheetId="7" hidden="1">#REF!</definedName>
    <definedName name="data2" localSheetId="9" hidden="1">#REF!</definedName>
    <definedName name="data2" localSheetId="10" hidden="1">#REF!</definedName>
    <definedName name="data2" localSheetId="12" hidden="1">#REF!</definedName>
    <definedName name="data2" localSheetId="11" hidden="1">#REF!</definedName>
    <definedName name="data2" hidden="1">#REF!</definedName>
    <definedName name="data3" localSheetId="6" hidden="1">#REF!</definedName>
    <definedName name="data3" localSheetId="8" hidden="1">#REF!</definedName>
    <definedName name="data3" localSheetId="7" hidden="1">#REF!</definedName>
    <definedName name="data3" localSheetId="9" hidden="1">#REF!</definedName>
    <definedName name="data3" localSheetId="10" hidden="1">#REF!</definedName>
    <definedName name="data3" localSheetId="12" hidden="1">#REF!</definedName>
    <definedName name="data3" localSheetId="11" hidden="1">#REF!</definedName>
    <definedName name="data3" hidden="1">#REF!</definedName>
    <definedName name="DenDK" localSheetId="2" hidden="1">{"'Sheet1'!$L$16"}</definedName>
    <definedName name="DenDK" localSheetId="3" hidden="1">{"'Sheet1'!$L$16"}</definedName>
    <definedName name="DenDK" localSheetId="6" hidden="1">{"'Sheet1'!$L$16"}</definedName>
    <definedName name="DenDK" localSheetId="8" hidden="1">{"'Sheet1'!$L$16"}</definedName>
    <definedName name="DenDK" localSheetId="7" hidden="1">{"'Sheet1'!$L$16"}</definedName>
    <definedName name="DenDK" localSheetId="9" hidden="1">{"'Sheet1'!$L$16"}</definedName>
    <definedName name="DenDK" localSheetId="10" hidden="1">{"'Sheet1'!$L$16"}</definedName>
    <definedName name="DenDK" localSheetId="12" hidden="1">{"'Sheet1'!$L$16"}</definedName>
    <definedName name="DenDK" localSheetId="11" hidden="1">{"'Sheet1'!$L$16"}</definedName>
    <definedName name="DenDK" localSheetId="13" hidden="1">{"'Sheet1'!$L$16"}</definedName>
    <definedName name="DenDK" localSheetId="14" hidden="1">{"'Sheet1'!$L$16"}</definedName>
    <definedName name="DenDK" hidden="1">{"'Sheet1'!$L$16"}</definedName>
    <definedName name="dfg" localSheetId="2" hidden="1">{"'Sheet1'!$L$16"}</definedName>
    <definedName name="dfg" localSheetId="3" hidden="1">{"'Sheet1'!$L$16"}</definedName>
    <definedName name="dfg" localSheetId="6" hidden="1">{"'Sheet1'!$L$16"}</definedName>
    <definedName name="dfg" localSheetId="8" hidden="1">{"'Sheet1'!$L$16"}</definedName>
    <definedName name="dfg" localSheetId="7" hidden="1">{"'Sheet1'!$L$16"}</definedName>
    <definedName name="dfg" localSheetId="9" hidden="1">{"'Sheet1'!$L$16"}</definedName>
    <definedName name="dfg" localSheetId="10" hidden="1">{"'Sheet1'!$L$16"}</definedName>
    <definedName name="dfg" localSheetId="12" hidden="1">{"'Sheet1'!$L$16"}</definedName>
    <definedName name="dfg" localSheetId="11" hidden="1">{"'Sheet1'!$L$16"}</definedName>
    <definedName name="dfg" localSheetId="13" hidden="1">{"'Sheet1'!$L$16"}</definedName>
    <definedName name="dfg" localSheetId="14" hidden="1">{"'Sheet1'!$L$16"}</definedName>
    <definedName name="dfg" hidden="1">{"'Sheet1'!$L$16"}</definedName>
    <definedName name="dgctp2" localSheetId="2" hidden="1">{"'Sheet1'!$L$16"}</definedName>
    <definedName name="dgctp2" localSheetId="3" hidden="1">{"'Sheet1'!$L$16"}</definedName>
    <definedName name="dgctp2" localSheetId="6" hidden="1">{"'Sheet1'!$L$16"}</definedName>
    <definedName name="dgctp2" localSheetId="8" hidden="1">{"'Sheet1'!$L$16"}</definedName>
    <definedName name="dgctp2" localSheetId="7" hidden="1">{"'Sheet1'!$L$16"}</definedName>
    <definedName name="dgctp2" localSheetId="9" hidden="1">{"'Sheet1'!$L$16"}</definedName>
    <definedName name="dgctp2" localSheetId="10" hidden="1">{"'Sheet1'!$L$16"}</definedName>
    <definedName name="dgctp2" localSheetId="12" hidden="1">{"'Sheet1'!$L$16"}</definedName>
    <definedName name="dgctp2" localSheetId="11" hidden="1">{"'Sheet1'!$L$16"}</definedName>
    <definedName name="dgctp2" localSheetId="13" hidden="1">{"'Sheet1'!$L$16"}</definedName>
    <definedName name="dgctp2" localSheetId="14" hidden="1">{"'Sheet1'!$L$16"}</definedName>
    <definedName name="dgctp2" hidden="1">{"'Sheet1'!$L$16"}</definedName>
    <definedName name="Discount" localSheetId="6" hidden="1">#REF!</definedName>
    <definedName name="Discount" localSheetId="8" hidden="1">#REF!</definedName>
    <definedName name="Discount" localSheetId="7" hidden="1">#REF!</definedName>
    <definedName name="Discount" localSheetId="9" hidden="1">#REF!</definedName>
    <definedName name="Discount" localSheetId="10" hidden="1">#REF!</definedName>
    <definedName name="Discount" localSheetId="12" hidden="1">#REF!</definedName>
    <definedName name="Discount" localSheetId="11" hidden="1">#REF!</definedName>
    <definedName name="Discount" hidden="1">#REF!</definedName>
    <definedName name="display_area_2" localSheetId="6" hidden="1">#REF!</definedName>
    <definedName name="display_area_2" localSheetId="8" hidden="1">#REF!</definedName>
    <definedName name="display_area_2" localSheetId="7" hidden="1">#REF!</definedName>
    <definedName name="display_area_2" localSheetId="9" hidden="1">#REF!</definedName>
    <definedName name="display_area_2" localSheetId="10" hidden="1">#REF!</definedName>
    <definedName name="display_area_2" localSheetId="12" hidden="1">#REF!</definedName>
    <definedName name="display_area_2" localSheetId="11" hidden="1">#REF!</definedName>
    <definedName name="display_area_2" hidden="1">#REF!</definedName>
    <definedName name="dsh" localSheetId="6" hidden="1">#REF!</definedName>
    <definedName name="dsh" localSheetId="8" hidden="1">#REF!</definedName>
    <definedName name="dsh" localSheetId="7" hidden="1">#REF!</definedName>
    <definedName name="dsh" localSheetId="9" hidden="1">#REF!</definedName>
    <definedName name="dsh" localSheetId="10" hidden="1">#REF!</definedName>
    <definedName name="dsh" localSheetId="12" hidden="1">#REF!</definedName>
    <definedName name="dsh" localSheetId="11" hidden="1">#REF!</definedName>
    <definedName name="dsh" hidden="1">#REF!</definedName>
    <definedName name="DUCANH" localSheetId="2" hidden="1">{"'Sheet1'!$L$16"}</definedName>
    <definedName name="DUCANH" localSheetId="3" hidden="1">{"'Sheet1'!$L$16"}</definedName>
    <definedName name="DUCANH" localSheetId="6" hidden="1">{"'Sheet1'!$L$16"}</definedName>
    <definedName name="DUCANH" localSheetId="8" hidden="1">{"'Sheet1'!$L$16"}</definedName>
    <definedName name="DUCANH" localSheetId="7" hidden="1">{"'Sheet1'!$L$16"}</definedName>
    <definedName name="DUCANH" localSheetId="9" hidden="1">{"'Sheet1'!$L$16"}</definedName>
    <definedName name="DUCANH" localSheetId="10" hidden="1">{"'Sheet1'!$L$16"}</definedName>
    <definedName name="DUCANH" localSheetId="12" hidden="1">{"'Sheet1'!$L$16"}</definedName>
    <definedName name="DUCANH" localSheetId="11" hidden="1">{"'Sheet1'!$L$16"}</definedName>
    <definedName name="DUCANH" localSheetId="13" hidden="1">{"'Sheet1'!$L$16"}</definedName>
    <definedName name="DUCANH" localSheetId="14" hidden="1">{"'Sheet1'!$L$16"}</definedName>
    <definedName name="DUCANH" hidden="1">{"'Sheet1'!$L$16"}</definedName>
    <definedName name="E" localSheetId="2" hidden="1">{#N/A,#N/A,FALSE,"BN (2)"}</definedName>
    <definedName name="E" localSheetId="3" hidden="1">{#N/A,#N/A,FALSE,"BN (2)"}</definedName>
    <definedName name="E" localSheetId="6" hidden="1">{#N/A,#N/A,FALSE,"BN (2)"}</definedName>
    <definedName name="E" localSheetId="8" hidden="1">{#N/A,#N/A,FALSE,"BN (2)"}</definedName>
    <definedName name="E" localSheetId="7" hidden="1">{#N/A,#N/A,FALSE,"BN (2)"}</definedName>
    <definedName name="E" localSheetId="9" hidden="1">{#N/A,#N/A,FALSE,"BN (2)"}</definedName>
    <definedName name="E" localSheetId="10" hidden="1">{#N/A,#N/A,FALSE,"BN (2)"}</definedName>
    <definedName name="E" localSheetId="12" hidden="1">{#N/A,#N/A,FALSE,"BN (2)"}</definedName>
    <definedName name="E" localSheetId="11" hidden="1">{#N/A,#N/A,FALSE,"BN (2)"}</definedName>
    <definedName name="E" localSheetId="13" hidden="1">{#N/A,#N/A,FALSE,"BN (2)"}</definedName>
    <definedName name="E" localSheetId="14" hidden="1">{#N/A,#N/A,FALSE,"BN (2)"}</definedName>
    <definedName name="E" hidden="1">{#N/A,#N/A,FALSE,"BN (2)"}</definedName>
    <definedName name="f" localSheetId="2" hidden="1">{"'Sheet1'!$L$16"}</definedName>
    <definedName name="f" localSheetId="3" hidden="1">{"'Sheet1'!$L$16"}</definedName>
    <definedName name="f" localSheetId="6" hidden="1">{"'Sheet1'!$L$16"}</definedName>
    <definedName name="f" localSheetId="8" hidden="1">{"'Sheet1'!$L$16"}</definedName>
    <definedName name="f" localSheetId="7" hidden="1">{"'Sheet1'!$L$16"}</definedName>
    <definedName name="f" localSheetId="9" hidden="1">{"'Sheet1'!$L$16"}</definedName>
    <definedName name="f" localSheetId="10" hidden="1">{"'Sheet1'!$L$16"}</definedName>
    <definedName name="f" localSheetId="12" hidden="1">{"'Sheet1'!$L$16"}</definedName>
    <definedName name="f" localSheetId="11" hidden="1">{"'Sheet1'!$L$16"}</definedName>
    <definedName name="f" localSheetId="13" hidden="1">{"'Sheet1'!$L$16"}</definedName>
    <definedName name="f" localSheetId="14" hidden="1">{"'Sheet1'!$L$16"}</definedName>
    <definedName name="f" hidden="1">{"'Sheet1'!$L$16"}</definedName>
    <definedName name="FCode" localSheetId="6" hidden="1">#REF!</definedName>
    <definedName name="FCode" localSheetId="8" hidden="1">#REF!</definedName>
    <definedName name="FCode" localSheetId="7" hidden="1">#REF!</definedName>
    <definedName name="FCode" localSheetId="9" hidden="1">#REF!</definedName>
    <definedName name="FCode" localSheetId="10" hidden="1">#REF!</definedName>
    <definedName name="FCode" localSheetId="12" hidden="1">#REF!</definedName>
    <definedName name="FCode" localSheetId="11" hidden="1">#REF!</definedName>
    <definedName name="FCode" hidden="1">#REF!</definedName>
    <definedName name="fsdfdsf" localSheetId="2" hidden="1">{"'Sheet1'!$L$16"}</definedName>
    <definedName name="fsdfdsf" localSheetId="3" hidden="1">{"'Sheet1'!$L$16"}</definedName>
    <definedName name="fsdfdsf" localSheetId="6" hidden="1">{"'Sheet1'!$L$16"}</definedName>
    <definedName name="fsdfdsf" localSheetId="8" hidden="1">{"'Sheet1'!$L$16"}</definedName>
    <definedName name="fsdfdsf" localSheetId="7" hidden="1">{"'Sheet1'!$L$16"}</definedName>
    <definedName name="fsdfdsf" localSheetId="9" hidden="1">{"'Sheet1'!$L$16"}</definedName>
    <definedName name="fsdfdsf" localSheetId="10" hidden="1">{"'Sheet1'!$L$16"}</definedName>
    <definedName name="fsdfdsf" localSheetId="12" hidden="1">{"'Sheet1'!$L$16"}</definedName>
    <definedName name="fsdfdsf" localSheetId="11" hidden="1">{"'Sheet1'!$L$16"}</definedName>
    <definedName name="fsdfdsf" localSheetId="13" hidden="1">{"'Sheet1'!$L$16"}</definedName>
    <definedName name="fsdfdsf" localSheetId="14" hidden="1">{"'Sheet1'!$L$16"}</definedName>
    <definedName name="fsdfdsf" hidden="1">{"'Sheet1'!$L$16"}</definedName>
    <definedName name="g" localSheetId="2" hidden="1">{"'Sheet1'!$L$16"}</definedName>
    <definedName name="g" localSheetId="3" hidden="1">{"'Sheet1'!$L$16"}</definedName>
    <definedName name="g" localSheetId="6" hidden="1">{"'Sheet1'!$L$16"}</definedName>
    <definedName name="g" localSheetId="8" hidden="1">{"'Sheet1'!$L$16"}</definedName>
    <definedName name="g" localSheetId="7" hidden="1">{"'Sheet1'!$L$16"}</definedName>
    <definedName name="g" localSheetId="9" hidden="1">{"'Sheet1'!$L$16"}</definedName>
    <definedName name="g" localSheetId="10" hidden="1">{"'Sheet1'!$L$16"}</definedName>
    <definedName name="g" localSheetId="12" hidden="1">{"'Sheet1'!$L$16"}</definedName>
    <definedName name="g" localSheetId="11" hidden="1">{"'Sheet1'!$L$16"}</definedName>
    <definedName name="g" localSheetId="13" hidden="1">{"'Sheet1'!$L$16"}</definedName>
    <definedName name="g" localSheetId="14" hidden="1">{"'Sheet1'!$L$16"}</definedName>
    <definedName name="g" hidden="1">{"'Sheet1'!$L$16"}</definedName>
    <definedName name="h" localSheetId="2" hidden="1">{"'Sheet1'!$L$16"}</definedName>
    <definedName name="h" localSheetId="3" hidden="1">{"'Sheet1'!$L$16"}</definedName>
    <definedName name="h" localSheetId="6" hidden="1">{"'Sheet1'!$L$16"}</definedName>
    <definedName name="h" localSheetId="8" hidden="1">{"'Sheet1'!$L$16"}</definedName>
    <definedName name="h" localSheetId="7" hidden="1">{"'Sheet1'!$L$16"}</definedName>
    <definedName name="h" localSheetId="9" hidden="1">{"'Sheet1'!$L$16"}</definedName>
    <definedName name="h" localSheetId="10" hidden="1">{"'Sheet1'!$L$16"}</definedName>
    <definedName name="h" localSheetId="12" hidden="1">{"'Sheet1'!$L$16"}</definedName>
    <definedName name="h" localSheetId="11" hidden="1">{"'Sheet1'!$L$16"}</definedName>
    <definedName name="h" localSheetId="13" hidden="1">{"'Sheet1'!$L$16"}</definedName>
    <definedName name="h" localSheetId="14" hidden="1">{"'Sheet1'!$L$16"}</definedName>
    <definedName name="h" hidden="1">{"'Sheet1'!$L$16"}</definedName>
    <definedName name="HANG" localSheetId="2" hidden="1">{#N/A,#N/A,FALSE,"Chi tiÆt"}</definedName>
    <definedName name="HANG" localSheetId="3" hidden="1">{#N/A,#N/A,FALSE,"Chi tiÆt"}</definedName>
    <definedName name="HANG" localSheetId="6" hidden="1">{#N/A,#N/A,FALSE,"Chi tiÆt"}</definedName>
    <definedName name="HANG" localSheetId="8" hidden="1">{#N/A,#N/A,FALSE,"Chi tiÆt"}</definedName>
    <definedName name="HANG" localSheetId="7" hidden="1">{#N/A,#N/A,FALSE,"Chi tiÆt"}</definedName>
    <definedName name="HANG" localSheetId="9" hidden="1">{#N/A,#N/A,FALSE,"Chi tiÆt"}</definedName>
    <definedName name="HANG" localSheetId="10" hidden="1">{#N/A,#N/A,FALSE,"Chi tiÆt"}</definedName>
    <definedName name="HANG" localSheetId="12" hidden="1">{#N/A,#N/A,FALSE,"Chi tiÆt"}</definedName>
    <definedName name="HANG" localSheetId="11" hidden="1">{#N/A,#N/A,FALSE,"Chi tiÆt"}</definedName>
    <definedName name="HANG" localSheetId="13" hidden="1">{#N/A,#N/A,FALSE,"Chi tiÆt"}</definedName>
    <definedName name="HANG" localSheetId="14" hidden="1">{#N/A,#N/A,FALSE,"Chi tiÆt"}</definedName>
    <definedName name="HANG" hidden="1">{#N/A,#N/A,FALSE,"Chi tiÆt"}</definedName>
    <definedName name="hhh" localSheetId="2" hidden="1">{"'Sheet1'!$L$16"}</definedName>
    <definedName name="hhh" localSheetId="3" hidden="1">{"'Sheet1'!$L$16"}</definedName>
    <definedName name="hhh" localSheetId="6" hidden="1">{"'Sheet1'!$L$16"}</definedName>
    <definedName name="hhh" localSheetId="8" hidden="1">{"'Sheet1'!$L$16"}</definedName>
    <definedName name="hhh" localSheetId="7" hidden="1">{"'Sheet1'!$L$16"}</definedName>
    <definedName name="hhh" localSheetId="9" hidden="1">{"'Sheet1'!$L$16"}</definedName>
    <definedName name="hhh" localSheetId="10" hidden="1">{"'Sheet1'!$L$16"}</definedName>
    <definedName name="hhh" localSheetId="12" hidden="1">{"'Sheet1'!$L$16"}</definedName>
    <definedName name="hhh" localSheetId="11" hidden="1">{"'Sheet1'!$L$16"}</definedName>
    <definedName name="hhh" localSheetId="13" hidden="1">{"'Sheet1'!$L$16"}</definedName>
    <definedName name="hhh" localSheetId="14" hidden="1">{"'Sheet1'!$L$16"}</definedName>
    <definedName name="hhh" hidden="1">{"'Sheet1'!$L$16"}</definedName>
    <definedName name="HiddenRows" localSheetId="6" hidden="1">#REF!</definedName>
    <definedName name="HiddenRows" localSheetId="8" hidden="1">#REF!</definedName>
    <definedName name="HiddenRows" localSheetId="7" hidden="1">#REF!</definedName>
    <definedName name="HiddenRows" localSheetId="9" hidden="1">#REF!</definedName>
    <definedName name="HiddenRows" localSheetId="10" hidden="1">#REF!</definedName>
    <definedName name="HiddenRows" localSheetId="12" hidden="1">#REF!</definedName>
    <definedName name="HiddenRows" localSheetId="11" hidden="1">#REF!</definedName>
    <definedName name="HiddenRows" hidden="1">#REF!</definedName>
    <definedName name="HIHIHIHOI" localSheetId="2" hidden="1">{"'Sheet1'!$L$16"}</definedName>
    <definedName name="HIHIHIHOI" localSheetId="3" hidden="1">{"'Sheet1'!$L$16"}</definedName>
    <definedName name="HIHIHIHOI" localSheetId="6" hidden="1">{"'Sheet1'!$L$16"}</definedName>
    <definedName name="HIHIHIHOI" localSheetId="8" hidden="1">{"'Sheet1'!$L$16"}</definedName>
    <definedName name="HIHIHIHOI" localSheetId="7" hidden="1">{"'Sheet1'!$L$16"}</definedName>
    <definedName name="HIHIHIHOI" localSheetId="9" hidden="1">{"'Sheet1'!$L$16"}</definedName>
    <definedName name="HIHIHIHOI" localSheetId="10" hidden="1">{"'Sheet1'!$L$16"}</definedName>
    <definedName name="HIHIHIHOI" localSheetId="12" hidden="1">{"'Sheet1'!$L$16"}</definedName>
    <definedName name="HIHIHIHOI" localSheetId="11" hidden="1">{"'Sheet1'!$L$16"}</definedName>
    <definedName name="HIHIHIHOI" localSheetId="13" hidden="1">{"'Sheet1'!$L$16"}</definedName>
    <definedName name="HIHIHIHOI" localSheetId="14" hidden="1">{"'Sheet1'!$L$16"}</definedName>
    <definedName name="HIHIHIHOI" hidden="1">{"'Sheet1'!$L$16"}</definedName>
    <definedName name="hj" localSheetId="2" hidden="1">{"'Sheet1'!$L$16"}</definedName>
    <definedName name="hj" localSheetId="3" hidden="1">{"'Sheet1'!$L$16"}</definedName>
    <definedName name="hj" localSheetId="6" hidden="1">{"'Sheet1'!$L$16"}</definedName>
    <definedName name="hj" localSheetId="8" hidden="1">{"'Sheet1'!$L$16"}</definedName>
    <definedName name="hj" localSheetId="7" hidden="1">{"'Sheet1'!$L$16"}</definedName>
    <definedName name="hj" localSheetId="9" hidden="1">{"'Sheet1'!$L$16"}</definedName>
    <definedName name="hj" localSheetId="10" hidden="1">{"'Sheet1'!$L$16"}</definedName>
    <definedName name="hj" localSheetId="12" hidden="1">{"'Sheet1'!$L$16"}</definedName>
    <definedName name="hj" localSheetId="11" hidden="1">{"'Sheet1'!$L$16"}</definedName>
    <definedName name="hj" localSheetId="13" hidden="1">{"'Sheet1'!$L$16"}</definedName>
    <definedName name="hj" localSheetId="14" hidden="1">{"'Sheet1'!$L$16"}</definedName>
    <definedName name="hj" hidden="1">{"'Sheet1'!$L$16"}</definedName>
    <definedName name="HJKL" localSheetId="2" hidden="1">{"'Sheet1'!$L$16"}</definedName>
    <definedName name="HJKL" localSheetId="3" hidden="1">{"'Sheet1'!$L$16"}</definedName>
    <definedName name="HJKL" localSheetId="6" hidden="1">{"'Sheet1'!$L$16"}</definedName>
    <definedName name="HJKL" localSheetId="8" hidden="1">{"'Sheet1'!$L$16"}</definedName>
    <definedName name="HJKL" localSheetId="7" hidden="1">{"'Sheet1'!$L$16"}</definedName>
    <definedName name="HJKL" localSheetId="9" hidden="1">{"'Sheet1'!$L$16"}</definedName>
    <definedName name="HJKL" localSheetId="10" hidden="1">{"'Sheet1'!$L$16"}</definedName>
    <definedName name="HJKL" localSheetId="12" hidden="1">{"'Sheet1'!$L$16"}</definedName>
    <definedName name="HJKL" localSheetId="11" hidden="1">{"'Sheet1'!$L$16"}</definedName>
    <definedName name="HJKL" localSheetId="13" hidden="1">{"'Sheet1'!$L$16"}</definedName>
    <definedName name="HJKL" localSheetId="14" hidden="1">{"'Sheet1'!$L$16"}</definedName>
    <definedName name="HJKL" hidden="1">{"'Sheet1'!$L$16"}</definedName>
    <definedName name="htlm" localSheetId="2" hidden="1">{"'Sheet1'!$L$16"}</definedName>
    <definedName name="htlm" localSheetId="3" hidden="1">{"'Sheet1'!$L$16"}</definedName>
    <definedName name="htlm" localSheetId="6" hidden="1">{"'Sheet1'!$L$16"}</definedName>
    <definedName name="htlm" localSheetId="8" hidden="1">{"'Sheet1'!$L$16"}</definedName>
    <definedName name="htlm" localSheetId="7" hidden="1">{"'Sheet1'!$L$16"}</definedName>
    <definedName name="htlm" localSheetId="9" hidden="1">{"'Sheet1'!$L$16"}</definedName>
    <definedName name="htlm" localSheetId="10" hidden="1">{"'Sheet1'!$L$16"}</definedName>
    <definedName name="htlm" localSheetId="12" hidden="1">{"'Sheet1'!$L$16"}</definedName>
    <definedName name="htlm" localSheetId="11" hidden="1">{"'Sheet1'!$L$16"}</definedName>
    <definedName name="htlm" localSheetId="13" hidden="1">{"'Sheet1'!$L$16"}</definedName>
    <definedName name="htlm" localSheetId="14"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6" hidden="1">{"'Sheet1'!$L$16"}</definedName>
    <definedName name="HTML_Control" localSheetId="8" hidden="1">{"'Sheet1'!$L$16"}</definedName>
    <definedName name="HTML_Control" localSheetId="7" hidden="1">{"'Sheet1'!$L$16"}</definedName>
    <definedName name="HTML_Control" localSheetId="9" hidden="1">{"'Sheet1'!$L$16"}</definedName>
    <definedName name="HTML_Control" localSheetId="10" hidden="1">{"'Sheet1'!$L$16"}</definedName>
    <definedName name="HTML_Control" localSheetId="12" hidden="1">{"'Sheet1'!$L$16"}</definedName>
    <definedName name="HTML_Control" localSheetId="11" hidden="1">{"'Sheet1'!$L$16"}</definedName>
    <definedName name="HTML_Control" localSheetId="13" hidden="1">{"'Sheet1'!$L$16"}</definedName>
    <definedName name="HTML_Control" localSheetId="1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2" hidden="1">{"'Sheet1'!$L$16"}</definedName>
    <definedName name="htrhrt" localSheetId="3" hidden="1">{"'Sheet1'!$L$16"}</definedName>
    <definedName name="htrhrt" localSheetId="6" hidden="1">{"'Sheet1'!$L$16"}</definedName>
    <definedName name="htrhrt" localSheetId="8" hidden="1">{"'Sheet1'!$L$16"}</definedName>
    <definedName name="htrhrt" localSheetId="7" hidden="1">{"'Sheet1'!$L$16"}</definedName>
    <definedName name="htrhrt" localSheetId="9" hidden="1">{"'Sheet1'!$L$16"}</definedName>
    <definedName name="htrhrt" localSheetId="10" hidden="1">{"'Sheet1'!$L$16"}</definedName>
    <definedName name="htrhrt" localSheetId="12" hidden="1">{"'Sheet1'!$L$16"}</definedName>
    <definedName name="htrhrt" localSheetId="11" hidden="1">{"'Sheet1'!$L$16"}</definedName>
    <definedName name="htrhrt" localSheetId="13" hidden="1">{"'Sheet1'!$L$16"}</definedName>
    <definedName name="htrhrt" localSheetId="14" hidden="1">{"'Sheet1'!$L$16"}</definedName>
    <definedName name="htrhrt" hidden="1">{"'Sheet1'!$L$16"}</definedName>
    <definedName name="hu" localSheetId="2" hidden="1">{"'Sheet1'!$L$16"}</definedName>
    <definedName name="hu" localSheetId="3" hidden="1">{"'Sheet1'!$L$16"}</definedName>
    <definedName name="hu" localSheetId="6" hidden="1">{"'Sheet1'!$L$16"}</definedName>
    <definedName name="hu" localSheetId="8" hidden="1">{"'Sheet1'!$L$16"}</definedName>
    <definedName name="hu" localSheetId="7" hidden="1">{"'Sheet1'!$L$16"}</definedName>
    <definedName name="hu" localSheetId="9" hidden="1">{"'Sheet1'!$L$16"}</definedName>
    <definedName name="hu" localSheetId="10" hidden="1">{"'Sheet1'!$L$16"}</definedName>
    <definedName name="hu" localSheetId="12" hidden="1">{"'Sheet1'!$L$16"}</definedName>
    <definedName name="hu" localSheetId="11" hidden="1">{"'Sheet1'!$L$16"}</definedName>
    <definedName name="hu" localSheetId="13" hidden="1">{"'Sheet1'!$L$16"}</definedName>
    <definedName name="hu" localSheetId="14" hidden="1">{"'Sheet1'!$L$16"}</definedName>
    <definedName name="hu" hidden="1">{"'Sheet1'!$L$16"}</definedName>
    <definedName name="huy" localSheetId="2" hidden="1">{"'Sheet1'!$L$16"}</definedName>
    <definedName name="huy" localSheetId="3" hidden="1">{"'Sheet1'!$L$16"}</definedName>
    <definedName name="huy" localSheetId="6" hidden="1">{"'Sheet1'!$L$16"}</definedName>
    <definedName name="huy" localSheetId="8" hidden="1">{"'Sheet1'!$L$16"}</definedName>
    <definedName name="huy" localSheetId="7" hidden="1">{"'Sheet1'!$L$16"}</definedName>
    <definedName name="huy" localSheetId="9" hidden="1">{"'Sheet1'!$L$16"}</definedName>
    <definedName name="huy" localSheetId="10" hidden="1">{"'Sheet1'!$L$16"}</definedName>
    <definedName name="huy" localSheetId="12" hidden="1">{"'Sheet1'!$L$16"}</definedName>
    <definedName name="huy" localSheetId="11" hidden="1">{"'Sheet1'!$L$16"}</definedName>
    <definedName name="huy" localSheetId="13" hidden="1">{"'Sheet1'!$L$16"}</definedName>
    <definedName name="huy" localSheetId="14" hidden="1">{"'Sheet1'!$L$16"}</definedName>
    <definedName name="huy" hidden="1">{"'Sheet1'!$L$16"}</definedName>
    <definedName name="KHANHKHUNG" localSheetId="2" hidden="1">{"'Sheet1'!$L$16"}</definedName>
    <definedName name="KHANHKHUNG" localSheetId="3" hidden="1">{"'Sheet1'!$L$16"}</definedName>
    <definedName name="KHANHKHUNG" localSheetId="6" hidden="1">{"'Sheet1'!$L$16"}</definedName>
    <definedName name="KHANHKHUNG" localSheetId="8" hidden="1">{"'Sheet1'!$L$16"}</definedName>
    <definedName name="KHANHKHUNG" localSheetId="7" hidden="1">{"'Sheet1'!$L$16"}</definedName>
    <definedName name="KHANHKHUNG" localSheetId="9" hidden="1">{"'Sheet1'!$L$16"}</definedName>
    <definedName name="KHANHKHUNG" localSheetId="10" hidden="1">{"'Sheet1'!$L$16"}</definedName>
    <definedName name="KHANHKHUNG" localSheetId="12" hidden="1">{"'Sheet1'!$L$16"}</definedName>
    <definedName name="KHANHKHUNG" localSheetId="11" hidden="1">{"'Sheet1'!$L$16"}</definedName>
    <definedName name="KHANHKHUNG" localSheetId="13" hidden="1">{"'Sheet1'!$L$16"}</definedName>
    <definedName name="KHANHKHUNG" localSheetId="14" hidden="1">{"'Sheet1'!$L$16"}</definedName>
    <definedName name="KHANHKHUNG" hidden="1">{"'Sheet1'!$L$16"}</definedName>
    <definedName name="khla09" localSheetId="2" hidden="1">{"'Sheet1'!$L$16"}</definedName>
    <definedName name="khla09" localSheetId="3" hidden="1">{"'Sheet1'!$L$16"}</definedName>
    <definedName name="khla09" localSheetId="6" hidden="1">{"'Sheet1'!$L$16"}</definedName>
    <definedName name="khla09" localSheetId="8" hidden="1">{"'Sheet1'!$L$16"}</definedName>
    <definedName name="khla09" localSheetId="7" hidden="1">{"'Sheet1'!$L$16"}</definedName>
    <definedName name="khla09" localSheetId="9" hidden="1">{"'Sheet1'!$L$16"}</definedName>
    <definedName name="khla09" localSheetId="10" hidden="1">{"'Sheet1'!$L$16"}</definedName>
    <definedName name="khla09" localSheetId="12" hidden="1">{"'Sheet1'!$L$16"}</definedName>
    <definedName name="khla09" localSheetId="11" hidden="1">{"'Sheet1'!$L$16"}</definedName>
    <definedName name="khla09" localSheetId="13" hidden="1">{"'Sheet1'!$L$16"}</definedName>
    <definedName name="khla09" localSheetId="14" hidden="1">{"'Sheet1'!$L$16"}</definedName>
    <definedName name="khla09" hidden="1">{"'Sheet1'!$L$16"}</definedName>
    <definedName name="khongtruotgia" localSheetId="2" hidden="1">{"'Sheet1'!$L$16"}</definedName>
    <definedName name="khongtruotgia" localSheetId="3" hidden="1">{"'Sheet1'!$L$16"}</definedName>
    <definedName name="khongtruotgia" localSheetId="6" hidden="1">{"'Sheet1'!$L$16"}</definedName>
    <definedName name="khongtruotgia" localSheetId="8" hidden="1">{"'Sheet1'!$L$16"}</definedName>
    <definedName name="khongtruotgia" localSheetId="7" hidden="1">{"'Sheet1'!$L$16"}</definedName>
    <definedName name="khongtruotgia" localSheetId="9" hidden="1">{"'Sheet1'!$L$16"}</definedName>
    <definedName name="khongtruotgia" localSheetId="10" hidden="1">{"'Sheet1'!$L$16"}</definedName>
    <definedName name="khongtruotgia" localSheetId="12" hidden="1">{"'Sheet1'!$L$16"}</definedName>
    <definedName name="khongtruotgia" localSheetId="11" hidden="1">{"'Sheet1'!$L$16"}</definedName>
    <definedName name="khongtruotgia" localSheetId="13" hidden="1">{"'Sheet1'!$L$16"}</definedName>
    <definedName name="khongtruotgia" localSheetId="14" hidden="1">{"'Sheet1'!$L$16"}</definedName>
    <definedName name="khongtruotgia" hidden="1">{"'Sheet1'!$L$16"}</definedName>
    <definedName name="khvh09" localSheetId="2" hidden="1">{"'Sheet1'!$L$16"}</definedName>
    <definedName name="khvh09" localSheetId="3" hidden="1">{"'Sheet1'!$L$16"}</definedName>
    <definedName name="khvh09" localSheetId="6" hidden="1">{"'Sheet1'!$L$16"}</definedName>
    <definedName name="khvh09" localSheetId="8" hidden="1">{"'Sheet1'!$L$16"}</definedName>
    <definedName name="khvh09" localSheetId="7" hidden="1">{"'Sheet1'!$L$16"}</definedName>
    <definedName name="khvh09" localSheetId="9" hidden="1">{"'Sheet1'!$L$16"}</definedName>
    <definedName name="khvh09" localSheetId="10" hidden="1">{"'Sheet1'!$L$16"}</definedName>
    <definedName name="khvh09" localSheetId="12" hidden="1">{"'Sheet1'!$L$16"}</definedName>
    <definedName name="khvh09" localSheetId="11" hidden="1">{"'Sheet1'!$L$16"}</definedName>
    <definedName name="khvh09" localSheetId="13" hidden="1">{"'Sheet1'!$L$16"}</definedName>
    <definedName name="khvh09" localSheetId="14" hidden="1">{"'Sheet1'!$L$16"}</definedName>
    <definedName name="khvh09" hidden="1">{"'Sheet1'!$L$16"}</definedName>
    <definedName name="KHYt09" localSheetId="2" hidden="1">{"'Sheet1'!$L$16"}</definedName>
    <definedName name="KHYt09" localSheetId="3" hidden="1">{"'Sheet1'!$L$16"}</definedName>
    <definedName name="KHYt09" localSheetId="6" hidden="1">{"'Sheet1'!$L$16"}</definedName>
    <definedName name="KHYt09" localSheetId="8" hidden="1">{"'Sheet1'!$L$16"}</definedName>
    <definedName name="KHYt09" localSheetId="7" hidden="1">{"'Sheet1'!$L$16"}</definedName>
    <definedName name="KHYt09" localSheetId="9" hidden="1">{"'Sheet1'!$L$16"}</definedName>
    <definedName name="KHYt09" localSheetId="10" hidden="1">{"'Sheet1'!$L$16"}</definedName>
    <definedName name="KHYt09" localSheetId="12" hidden="1">{"'Sheet1'!$L$16"}</definedName>
    <definedName name="KHYt09" localSheetId="11" hidden="1">{"'Sheet1'!$L$16"}</definedName>
    <definedName name="KHYt09" localSheetId="13" hidden="1">{"'Sheet1'!$L$16"}</definedName>
    <definedName name="KHYt09" localSheetId="14" hidden="1">{"'Sheet1'!$L$16"}</definedName>
    <definedName name="KHYt09" hidden="1">{"'Sheet1'!$L$16"}</definedName>
    <definedName name="KLduonggiaods" localSheetId="2" hidden="1">{"'Sheet1'!$L$16"}</definedName>
    <definedName name="KLduonggiaods" localSheetId="3" hidden="1">{"'Sheet1'!$L$16"}</definedName>
    <definedName name="KLduonggiaods" localSheetId="6" hidden="1">{"'Sheet1'!$L$16"}</definedName>
    <definedName name="KLduonggiaods" localSheetId="8" hidden="1">{"'Sheet1'!$L$16"}</definedName>
    <definedName name="KLduonggiaods" localSheetId="7" hidden="1">{"'Sheet1'!$L$16"}</definedName>
    <definedName name="KLduonggiaods" localSheetId="9" hidden="1">{"'Sheet1'!$L$16"}</definedName>
    <definedName name="KLduonggiaods" localSheetId="10" hidden="1">{"'Sheet1'!$L$16"}</definedName>
    <definedName name="KLduonggiaods" localSheetId="12" hidden="1">{"'Sheet1'!$L$16"}</definedName>
    <definedName name="KLduonggiaods" localSheetId="11" hidden="1">{"'Sheet1'!$L$16"}</definedName>
    <definedName name="KLduonggiaods" localSheetId="13" hidden="1">{"'Sheet1'!$L$16"}</definedName>
    <definedName name="KLduonggiaods" localSheetId="14" hidden="1">{"'Sheet1'!$L$16"}</definedName>
    <definedName name="KLduonggiaods" hidden="1">{"'Sheet1'!$L$16"}</definedName>
    <definedName name="komtun" localSheetId="2" hidden="1">{"'Sheet1'!$L$16"}</definedName>
    <definedName name="komtun" localSheetId="3" hidden="1">{"'Sheet1'!$L$16"}</definedName>
    <definedName name="komtun" localSheetId="6" hidden="1">{"'Sheet1'!$L$16"}</definedName>
    <definedName name="komtun" localSheetId="8" hidden="1">{"'Sheet1'!$L$16"}</definedName>
    <definedName name="komtun" localSheetId="7" hidden="1">{"'Sheet1'!$L$16"}</definedName>
    <definedName name="komtun" localSheetId="9" hidden="1">{"'Sheet1'!$L$16"}</definedName>
    <definedName name="komtun" localSheetId="10" hidden="1">{"'Sheet1'!$L$16"}</definedName>
    <definedName name="komtun" localSheetId="12" hidden="1">{"'Sheet1'!$L$16"}</definedName>
    <definedName name="komtun" localSheetId="11" hidden="1">{"'Sheet1'!$L$16"}</definedName>
    <definedName name="komtun" localSheetId="13" hidden="1">{"'Sheet1'!$L$16"}</definedName>
    <definedName name="komtun" localSheetId="14" hidden="1">{"'Sheet1'!$L$16"}</definedName>
    <definedName name="komtun" hidden="1">{"'Sheet1'!$L$16"}</definedName>
    <definedName name="kontum" localSheetId="2" hidden="1">{#N/A,#N/A,TRUE,"BT M200 da 10x20"}</definedName>
    <definedName name="kontum" localSheetId="3" hidden="1">{#N/A,#N/A,TRUE,"BT M200 da 10x20"}</definedName>
    <definedName name="kontum" localSheetId="6" hidden="1">{#N/A,#N/A,TRUE,"BT M200 da 10x20"}</definedName>
    <definedName name="kontum" localSheetId="8" hidden="1">{#N/A,#N/A,TRUE,"BT M200 da 10x20"}</definedName>
    <definedName name="kontum" localSheetId="7" hidden="1">{#N/A,#N/A,TRUE,"BT M200 da 10x20"}</definedName>
    <definedName name="kontum" localSheetId="9" hidden="1">{#N/A,#N/A,TRUE,"BT M200 da 10x20"}</definedName>
    <definedName name="kontum" localSheetId="10" hidden="1">{#N/A,#N/A,TRUE,"BT M200 da 10x20"}</definedName>
    <definedName name="kontum" localSheetId="12" hidden="1">{#N/A,#N/A,TRUE,"BT M200 da 10x20"}</definedName>
    <definedName name="kontum" localSheetId="11" hidden="1">{#N/A,#N/A,TRUE,"BT M200 da 10x20"}</definedName>
    <definedName name="kontum" localSheetId="13" hidden="1">{#N/A,#N/A,TRUE,"BT M200 da 10x20"}</definedName>
    <definedName name="kontum" localSheetId="14" hidden="1">{#N/A,#N/A,TRUE,"BT M200 da 10x20"}</definedName>
    <definedName name="kontum" hidden="1">{#N/A,#N/A,TRUE,"BT M200 da 10x20"}</definedName>
    <definedName name="ksbn" localSheetId="2" hidden="1">{"'Sheet1'!$L$16"}</definedName>
    <definedName name="ksbn" localSheetId="3" hidden="1">{"'Sheet1'!$L$16"}</definedName>
    <definedName name="ksbn" localSheetId="6" hidden="1">{"'Sheet1'!$L$16"}</definedName>
    <definedName name="ksbn" localSheetId="8" hidden="1">{"'Sheet1'!$L$16"}</definedName>
    <definedName name="ksbn" localSheetId="7" hidden="1">{"'Sheet1'!$L$16"}</definedName>
    <definedName name="ksbn" localSheetId="9" hidden="1">{"'Sheet1'!$L$16"}</definedName>
    <definedName name="ksbn" localSheetId="10" hidden="1">{"'Sheet1'!$L$16"}</definedName>
    <definedName name="ksbn" localSheetId="12" hidden="1">{"'Sheet1'!$L$16"}</definedName>
    <definedName name="ksbn" localSheetId="11" hidden="1">{"'Sheet1'!$L$16"}</definedName>
    <definedName name="ksbn" localSheetId="13" hidden="1">{"'Sheet1'!$L$16"}</definedName>
    <definedName name="ksbn" localSheetId="14" hidden="1">{"'Sheet1'!$L$16"}</definedName>
    <definedName name="ksbn" hidden="1">{"'Sheet1'!$L$16"}</definedName>
    <definedName name="kshn" localSheetId="2" hidden="1">{"'Sheet1'!$L$16"}</definedName>
    <definedName name="kshn" localSheetId="3" hidden="1">{"'Sheet1'!$L$16"}</definedName>
    <definedName name="kshn" localSheetId="6" hidden="1">{"'Sheet1'!$L$16"}</definedName>
    <definedName name="kshn" localSheetId="8" hidden="1">{"'Sheet1'!$L$16"}</definedName>
    <definedName name="kshn" localSheetId="7" hidden="1">{"'Sheet1'!$L$16"}</definedName>
    <definedName name="kshn" localSheetId="9" hidden="1">{"'Sheet1'!$L$16"}</definedName>
    <definedName name="kshn" localSheetId="10" hidden="1">{"'Sheet1'!$L$16"}</definedName>
    <definedName name="kshn" localSheetId="12" hidden="1">{"'Sheet1'!$L$16"}</definedName>
    <definedName name="kshn" localSheetId="11" hidden="1">{"'Sheet1'!$L$16"}</definedName>
    <definedName name="kshn" localSheetId="13" hidden="1">{"'Sheet1'!$L$16"}</definedName>
    <definedName name="kshn" localSheetId="14" hidden="1">{"'Sheet1'!$L$16"}</definedName>
    <definedName name="kshn" hidden="1">{"'Sheet1'!$L$16"}</definedName>
    <definedName name="ksls" localSheetId="2" hidden="1">{"'Sheet1'!$L$16"}</definedName>
    <definedName name="ksls" localSheetId="3" hidden="1">{"'Sheet1'!$L$16"}</definedName>
    <definedName name="ksls" localSheetId="6" hidden="1">{"'Sheet1'!$L$16"}</definedName>
    <definedName name="ksls" localSheetId="8" hidden="1">{"'Sheet1'!$L$16"}</definedName>
    <definedName name="ksls" localSheetId="7" hidden="1">{"'Sheet1'!$L$16"}</definedName>
    <definedName name="ksls" localSheetId="9" hidden="1">{"'Sheet1'!$L$16"}</definedName>
    <definedName name="ksls" localSheetId="10" hidden="1">{"'Sheet1'!$L$16"}</definedName>
    <definedName name="ksls" localSheetId="12" hidden="1">{"'Sheet1'!$L$16"}</definedName>
    <definedName name="ksls" localSheetId="11" hidden="1">{"'Sheet1'!$L$16"}</definedName>
    <definedName name="ksls" localSheetId="13" hidden="1">{"'Sheet1'!$L$16"}</definedName>
    <definedName name="ksls" localSheetId="14" hidden="1">{"'Sheet1'!$L$16"}</definedName>
    <definedName name="ksls" hidden="1">{"'Sheet1'!$L$16"}</definedName>
    <definedName name="lan" localSheetId="2" hidden="1">{#N/A,#N/A,TRUE,"BT M200 da 10x20"}</definedName>
    <definedName name="lan" localSheetId="3" hidden="1">{#N/A,#N/A,TRUE,"BT M200 da 10x20"}</definedName>
    <definedName name="lan" localSheetId="6" hidden="1">{#N/A,#N/A,TRUE,"BT M200 da 10x20"}</definedName>
    <definedName name="lan" localSheetId="8" hidden="1">{#N/A,#N/A,TRUE,"BT M200 da 10x20"}</definedName>
    <definedName name="lan" localSheetId="7" hidden="1">{#N/A,#N/A,TRUE,"BT M200 da 10x20"}</definedName>
    <definedName name="lan" localSheetId="9" hidden="1">{#N/A,#N/A,TRUE,"BT M200 da 10x20"}</definedName>
    <definedName name="lan" localSheetId="10" hidden="1">{#N/A,#N/A,TRUE,"BT M200 da 10x20"}</definedName>
    <definedName name="lan" localSheetId="12" hidden="1">{#N/A,#N/A,TRUE,"BT M200 da 10x20"}</definedName>
    <definedName name="lan" localSheetId="11" hidden="1">{#N/A,#N/A,TRUE,"BT M200 da 10x20"}</definedName>
    <definedName name="lan" localSheetId="13" hidden="1">{#N/A,#N/A,TRUE,"BT M200 da 10x20"}</definedName>
    <definedName name="lan" localSheetId="14" hidden="1">{#N/A,#N/A,TRUE,"BT M200 da 10x20"}</definedName>
    <definedName name="lan" hidden="1">{#N/A,#N/A,TRUE,"BT M200 da 10x20"}</definedName>
    <definedName name="langson" localSheetId="2" hidden="1">{"'Sheet1'!$L$16"}</definedName>
    <definedName name="langson" localSheetId="3" hidden="1">{"'Sheet1'!$L$16"}</definedName>
    <definedName name="langson" localSheetId="6" hidden="1">{"'Sheet1'!$L$16"}</definedName>
    <definedName name="langson" localSheetId="8" hidden="1">{"'Sheet1'!$L$16"}</definedName>
    <definedName name="langson" localSheetId="7" hidden="1">{"'Sheet1'!$L$16"}</definedName>
    <definedName name="langson" localSheetId="9" hidden="1">{"'Sheet1'!$L$16"}</definedName>
    <definedName name="langson" localSheetId="10" hidden="1">{"'Sheet1'!$L$16"}</definedName>
    <definedName name="langson" localSheetId="12" hidden="1">{"'Sheet1'!$L$16"}</definedName>
    <definedName name="langson" localSheetId="11" hidden="1">{"'Sheet1'!$L$16"}</definedName>
    <definedName name="langson" localSheetId="13" hidden="1">{"'Sheet1'!$L$16"}</definedName>
    <definedName name="langson" localSheetId="14" hidden="1">{"'Sheet1'!$L$16"}</definedName>
    <definedName name="langson" hidden="1">{"'Sheet1'!$L$16"}</definedName>
    <definedName name="mo" localSheetId="2" hidden="1">{"'Sheet1'!$L$16"}</definedName>
    <definedName name="mo" localSheetId="3" hidden="1">{"'Sheet1'!$L$16"}</definedName>
    <definedName name="mo" localSheetId="6" hidden="1">{"'Sheet1'!$L$16"}</definedName>
    <definedName name="mo" localSheetId="8" hidden="1">{"'Sheet1'!$L$16"}</definedName>
    <definedName name="mo" localSheetId="7" hidden="1">{"'Sheet1'!$L$16"}</definedName>
    <definedName name="mo" localSheetId="9" hidden="1">{"'Sheet1'!$L$16"}</definedName>
    <definedName name="mo" localSheetId="10" hidden="1">{"'Sheet1'!$L$16"}</definedName>
    <definedName name="mo" localSheetId="12" hidden="1">{"'Sheet1'!$L$16"}</definedName>
    <definedName name="mo" localSheetId="11" hidden="1">{"'Sheet1'!$L$16"}</definedName>
    <definedName name="mo" localSheetId="13" hidden="1">{"'Sheet1'!$L$16"}</definedName>
    <definedName name="mo" localSheetId="14" hidden="1">{"'Sheet1'!$L$16"}</definedName>
    <definedName name="mo" hidden="1">{"'Sheet1'!$L$16"}</definedName>
    <definedName name="NHANH2_CG4" localSheetId="2" hidden="1">{"'Sheet1'!$L$16"}</definedName>
    <definedName name="NHANH2_CG4" localSheetId="3" hidden="1">{"'Sheet1'!$L$16"}</definedName>
    <definedName name="NHANH2_CG4" localSheetId="6" hidden="1">{"'Sheet1'!$L$16"}</definedName>
    <definedName name="NHANH2_CG4" localSheetId="8" hidden="1">{"'Sheet1'!$L$16"}</definedName>
    <definedName name="NHANH2_CG4" localSheetId="7" hidden="1">{"'Sheet1'!$L$16"}</definedName>
    <definedName name="NHANH2_CG4" localSheetId="9" hidden="1">{"'Sheet1'!$L$16"}</definedName>
    <definedName name="NHANH2_CG4" localSheetId="10" hidden="1">{"'Sheet1'!$L$16"}</definedName>
    <definedName name="NHANH2_CG4" localSheetId="12" hidden="1">{"'Sheet1'!$L$16"}</definedName>
    <definedName name="NHANH2_CG4" localSheetId="11" hidden="1">{"'Sheet1'!$L$16"}</definedName>
    <definedName name="NHANH2_CG4" localSheetId="13" hidden="1">{"'Sheet1'!$L$16"}</definedName>
    <definedName name="NHANH2_CG4" localSheetId="14" hidden="1">{"'Sheet1'!$L$16"}</definedName>
    <definedName name="NHANH2_CG4" hidden="1">{"'Sheet1'!$L$16"}</definedName>
    <definedName name="OrderTable" localSheetId="6" hidden="1">#REF!</definedName>
    <definedName name="OrderTable" localSheetId="8" hidden="1">#REF!</definedName>
    <definedName name="OrderTable" localSheetId="7" hidden="1">#REF!</definedName>
    <definedName name="OrderTable" localSheetId="9" hidden="1">#REF!</definedName>
    <definedName name="OrderTable" localSheetId="10" hidden="1">#REF!</definedName>
    <definedName name="OrderTable" localSheetId="12" hidden="1">#REF!</definedName>
    <definedName name="OrderTable" localSheetId="11" hidden="1">#REF!</definedName>
    <definedName name="OrderTable" hidden="1">#REF!</definedName>
    <definedName name="PAIII_" localSheetId="2" hidden="1">{"'Sheet1'!$L$16"}</definedName>
    <definedName name="PAIII_" localSheetId="3" hidden="1">{"'Sheet1'!$L$16"}</definedName>
    <definedName name="PAIII_" localSheetId="6" hidden="1">{"'Sheet1'!$L$16"}</definedName>
    <definedName name="PAIII_" localSheetId="8" hidden="1">{"'Sheet1'!$L$16"}</definedName>
    <definedName name="PAIII_" localSheetId="7" hidden="1">{"'Sheet1'!$L$16"}</definedName>
    <definedName name="PAIII_" localSheetId="9" hidden="1">{"'Sheet1'!$L$16"}</definedName>
    <definedName name="PAIII_" localSheetId="10" hidden="1">{"'Sheet1'!$L$16"}</definedName>
    <definedName name="PAIII_" localSheetId="12" hidden="1">{"'Sheet1'!$L$16"}</definedName>
    <definedName name="PAIII_" localSheetId="11" hidden="1">{"'Sheet1'!$L$16"}</definedName>
    <definedName name="PAIII_" localSheetId="13" hidden="1">{"'Sheet1'!$L$16"}</definedName>
    <definedName name="PAIII_" localSheetId="14" hidden="1">{"'Sheet1'!$L$16"}</definedName>
    <definedName name="PAIII_" hidden="1">{"'Sheet1'!$L$16"}</definedName>
    <definedName name="PMS" localSheetId="2" hidden="1">{"'Sheet1'!$L$16"}</definedName>
    <definedName name="PMS" localSheetId="3" hidden="1">{"'Sheet1'!$L$16"}</definedName>
    <definedName name="PMS" localSheetId="6" hidden="1">{"'Sheet1'!$L$16"}</definedName>
    <definedName name="PMS" localSheetId="8" hidden="1">{"'Sheet1'!$L$16"}</definedName>
    <definedName name="PMS" localSheetId="7" hidden="1">{"'Sheet1'!$L$16"}</definedName>
    <definedName name="PMS" localSheetId="9" hidden="1">{"'Sheet1'!$L$16"}</definedName>
    <definedName name="PMS" localSheetId="10" hidden="1">{"'Sheet1'!$L$16"}</definedName>
    <definedName name="PMS" localSheetId="12" hidden="1">{"'Sheet1'!$L$16"}</definedName>
    <definedName name="PMS" localSheetId="11" hidden="1">{"'Sheet1'!$L$16"}</definedName>
    <definedName name="PMS" localSheetId="13" hidden="1">{"'Sheet1'!$L$16"}</definedName>
    <definedName name="PMS" localSheetId="14" hidden="1">{"'Sheet1'!$L$16"}</definedName>
    <definedName name="PMS" hidden="1">{"'Sheet1'!$L$16"}</definedName>
    <definedName name="_xlnm.Print_Area" localSheetId="4">'Bieu 51'!$B$38:$F$48</definedName>
    <definedName name="_xlnm.Print_Area" localSheetId="5">'bieu 52'!$A$1:$F$53</definedName>
    <definedName name="_xlnm.Print_Area" localSheetId="6">'bieu 53'!$A$1:$K$63</definedName>
    <definedName name="_xlnm.Print_Area" localSheetId="8">'Bieu 54 '!$A$1:$AE$119</definedName>
    <definedName name="_xlnm.Print_Area" localSheetId="7">'Bieu 54_Tan_NS'!$A$1:$Z$121</definedName>
    <definedName name="_xlnm.Print_Area" localSheetId="9">'Bieu 58'!$A$1:$AG$25</definedName>
    <definedName name="_xlnm.Print_Area" localSheetId="12">'Bieu 61'!$A$1:$BV$52</definedName>
    <definedName name="_xlnm.Print_Area" localSheetId="11">'Bieu 61_Hien'!$A$1:$AK$45</definedName>
    <definedName name="_xlnm.Print_Area" localSheetId="14">'Biêu 64'!$A$1:$E$159</definedName>
    <definedName name="_xlnm.Print_Titles" localSheetId="2">'Bieu 48'!$5:$7</definedName>
    <definedName name="_xlnm.Print_Titles" localSheetId="6">'bieu 53'!$5:$7</definedName>
    <definedName name="_xlnm.Print_Titles" localSheetId="8">'Bieu 54 '!$6:$9</definedName>
    <definedName name="ProdForm" localSheetId="6" hidden="1">#REF!</definedName>
    <definedName name="ProdForm" localSheetId="8" hidden="1">#REF!</definedName>
    <definedName name="ProdForm" localSheetId="7" hidden="1">#REF!</definedName>
    <definedName name="ProdForm" localSheetId="9" hidden="1">#REF!</definedName>
    <definedName name="ProdForm" localSheetId="10" hidden="1">#REF!</definedName>
    <definedName name="ProdForm" localSheetId="12" hidden="1">#REF!</definedName>
    <definedName name="ProdForm" localSheetId="11" hidden="1">#REF!</definedName>
    <definedName name="ProdForm" hidden="1">#REF!</definedName>
    <definedName name="Product" localSheetId="6" hidden="1">#REF!</definedName>
    <definedName name="Product" localSheetId="8" hidden="1">#REF!</definedName>
    <definedName name="Product" localSheetId="7" hidden="1">#REF!</definedName>
    <definedName name="Product" localSheetId="9" hidden="1">#REF!</definedName>
    <definedName name="Product" localSheetId="10" hidden="1">#REF!</definedName>
    <definedName name="Product" localSheetId="12" hidden="1">#REF!</definedName>
    <definedName name="Product" localSheetId="11" hidden="1">#REF!</definedName>
    <definedName name="Product" hidden="1">#REF!</definedName>
    <definedName name="RCArea" localSheetId="6" hidden="1">#REF!</definedName>
    <definedName name="RCArea" localSheetId="8" hidden="1">#REF!</definedName>
    <definedName name="RCArea" localSheetId="7" hidden="1">#REF!</definedName>
    <definedName name="RCArea" localSheetId="9" hidden="1">#REF!</definedName>
    <definedName name="RCArea" localSheetId="10" hidden="1">#REF!</definedName>
    <definedName name="RCArea" localSheetId="12" hidden="1">#REF!</definedName>
    <definedName name="RCArea" localSheetId="11" hidden="1">#REF!</definedName>
    <definedName name="RCArea" hidden="1">#REF!</definedName>
    <definedName name="re" localSheetId="2" hidden="1">{"'Sheet1'!$L$16"}</definedName>
    <definedName name="re" localSheetId="3" hidden="1">{"'Sheet1'!$L$16"}</definedName>
    <definedName name="re" localSheetId="6" hidden="1">{"'Sheet1'!$L$16"}</definedName>
    <definedName name="re" localSheetId="8" hidden="1">{"'Sheet1'!$L$16"}</definedName>
    <definedName name="re" localSheetId="7" hidden="1">{"'Sheet1'!$L$16"}</definedName>
    <definedName name="re" localSheetId="9" hidden="1">{"'Sheet1'!$L$16"}</definedName>
    <definedName name="re" localSheetId="10" hidden="1">{"'Sheet1'!$L$16"}</definedName>
    <definedName name="re" localSheetId="12" hidden="1">{"'Sheet1'!$L$16"}</definedName>
    <definedName name="re" localSheetId="11" hidden="1">{"'Sheet1'!$L$16"}</definedName>
    <definedName name="re" localSheetId="13" hidden="1">{"'Sheet1'!$L$16"}</definedName>
    <definedName name="re" localSheetId="14" hidden="1">{"'Sheet1'!$L$16"}</definedName>
    <definedName name="re" hidden="1">{"'Sheet1'!$L$16"}</definedName>
    <definedName name="RGHGSD" localSheetId="2" hidden="1">{"'Sheet1'!$L$16"}</definedName>
    <definedName name="RGHGSD" localSheetId="3" hidden="1">{"'Sheet1'!$L$16"}</definedName>
    <definedName name="RGHGSD" localSheetId="6" hidden="1">{"'Sheet1'!$L$16"}</definedName>
    <definedName name="RGHGSD" localSheetId="8" hidden="1">{"'Sheet1'!$L$16"}</definedName>
    <definedName name="RGHGSD" localSheetId="7" hidden="1">{"'Sheet1'!$L$16"}</definedName>
    <definedName name="RGHGSD" localSheetId="9" hidden="1">{"'Sheet1'!$L$16"}</definedName>
    <definedName name="RGHGSD" localSheetId="10" hidden="1">{"'Sheet1'!$L$16"}</definedName>
    <definedName name="RGHGSD" localSheetId="12" hidden="1">{"'Sheet1'!$L$16"}</definedName>
    <definedName name="RGHGSD" localSheetId="11" hidden="1">{"'Sheet1'!$L$16"}</definedName>
    <definedName name="RGHGSD" localSheetId="13" hidden="1">{"'Sheet1'!$L$16"}</definedName>
    <definedName name="RGHGSD" localSheetId="14" hidden="1">{"'Sheet1'!$L$16"}</definedName>
    <definedName name="RGHGSD" hidden="1">{"'Sheet1'!$L$16"}</definedName>
    <definedName name="rr" localSheetId="2" hidden="1">{"'Sheet1'!$L$16"}</definedName>
    <definedName name="rr" localSheetId="3" hidden="1">{"'Sheet1'!$L$16"}</definedName>
    <definedName name="rr" localSheetId="6" hidden="1">{"'Sheet1'!$L$16"}</definedName>
    <definedName name="rr" localSheetId="8" hidden="1">{"'Sheet1'!$L$16"}</definedName>
    <definedName name="rr" localSheetId="7" hidden="1">{"'Sheet1'!$L$16"}</definedName>
    <definedName name="rr" localSheetId="9" hidden="1">{"'Sheet1'!$L$16"}</definedName>
    <definedName name="rr" localSheetId="10" hidden="1">{"'Sheet1'!$L$16"}</definedName>
    <definedName name="rr" localSheetId="12" hidden="1">{"'Sheet1'!$L$16"}</definedName>
    <definedName name="rr" localSheetId="11" hidden="1">{"'Sheet1'!$L$16"}</definedName>
    <definedName name="rr" localSheetId="13" hidden="1">{"'Sheet1'!$L$16"}</definedName>
    <definedName name="rr" localSheetId="14" hidden="1">{"'Sheet1'!$L$16"}</definedName>
    <definedName name="rr" hidden="1">{"'Sheet1'!$L$16"}</definedName>
    <definedName name="sdbv" localSheetId="2" hidden="1">{"'Sheet1'!$L$16"}</definedName>
    <definedName name="sdbv" localSheetId="3" hidden="1">{"'Sheet1'!$L$16"}</definedName>
    <definedName name="sdbv" localSheetId="6" hidden="1">{"'Sheet1'!$L$16"}</definedName>
    <definedName name="sdbv" localSheetId="8" hidden="1">{"'Sheet1'!$L$16"}</definedName>
    <definedName name="sdbv" localSheetId="7" hidden="1">{"'Sheet1'!$L$16"}</definedName>
    <definedName name="sdbv" localSheetId="9" hidden="1">{"'Sheet1'!$L$16"}</definedName>
    <definedName name="sdbv" localSheetId="10" hidden="1">{"'Sheet1'!$L$16"}</definedName>
    <definedName name="sdbv" localSheetId="12" hidden="1">{"'Sheet1'!$L$16"}</definedName>
    <definedName name="sdbv" localSheetId="11" hidden="1">{"'Sheet1'!$L$16"}</definedName>
    <definedName name="sdbv" localSheetId="13" hidden="1">{"'Sheet1'!$L$16"}</definedName>
    <definedName name="sdbv" localSheetId="14" hidden="1">{"'Sheet1'!$L$16"}</definedName>
    <definedName name="sdbv" hidden="1">{"'Sheet1'!$L$16"}</definedName>
    <definedName name="Sosanh2" localSheetId="2" hidden="1">{"'Sheet1'!$L$16"}</definedName>
    <definedName name="Sosanh2" localSheetId="3" hidden="1">{"'Sheet1'!$L$16"}</definedName>
    <definedName name="Sosanh2" localSheetId="6" hidden="1">{"'Sheet1'!$L$16"}</definedName>
    <definedName name="Sosanh2" localSheetId="8" hidden="1">{"'Sheet1'!$L$16"}</definedName>
    <definedName name="Sosanh2" localSheetId="7" hidden="1">{"'Sheet1'!$L$16"}</definedName>
    <definedName name="Sosanh2" localSheetId="9" hidden="1">{"'Sheet1'!$L$16"}</definedName>
    <definedName name="Sosanh2" localSheetId="10" hidden="1">{"'Sheet1'!$L$16"}</definedName>
    <definedName name="Sosanh2" localSheetId="12" hidden="1">{"'Sheet1'!$L$16"}</definedName>
    <definedName name="Sosanh2" localSheetId="11" hidden="1">{"'Sheet1'!$L$16"}</definedName>
    <definedName name="Sosanh2" localSheetId="13" hidden="1">{"'Sheet1'!$L$16"}</definedName>
    <definedName name="Sosanh2" localSheetId="14" hidden="1">{"'Sheet1'!$L$16"}</definedName>
    <definedName name="Sosanh2" hidden="1">{"'Sheet1'!$L$16"}</definedName>
    <definedName name="SpecialPrice" localSheetId="6" hidden="1">#REF!</definedName>
    <definedName name="SpecialPrice" localSheetId="8" hidden="1">#REF!</definedName>
    <definedName name="SpecialPrice" localSheetId="7" hidden="1">#REF!</definedName>
    <definedName name="SpecialPrice" localSheetId="9" hidden="1">#REF!</definedName>
    <definedName name="SpecialPrice" localSheetId="10" hidden="1">#REF!</definedName>
    <definedName name="SpecialPrice" localSheetId="12" hidden="1">#REF!</definedName>
    <definedName name="SpecialPrice" localSheetId="11" hidden="1">#REF!</definedName>
    <definedName name="SpecialPrice" hidden="1">#REF!</definedName>
    <definedName name="T.3" localSheetId="2" hidden="1">{"'Sheet1'!$L$16"}</definedName>
    <definedName name="T.3" localSheetId="3" hidden="1">{"'Sheet1'!$L$16"}</definedName>
    <definedName name="T.3" localSheetId="6" hidden="1">{"'Sheet1'!$L$16"}</definedName>
    <definedName name="T.3" localSheetId="8" hidden="1">{"'Sheet1'!$L$16"}</definedName>
    <definedName name="T.3" localSheetId="7" hidden="1">{"'Sheet1'!$L$16"}</definedName>
    <definedName name="T.3" localSheetId="9" hidden="1">{"'Sheet1'!$L$16"}</definedName>
    <definedName name="T.3" localSheetId="10" hidden="1">{"'Sheet1'!$L$16"}</definedName>
    <definedName name="T.3" localSheetId="12" hidden="1">{"'Sheet1'!$L$16"}</definedName>
    <definedName name="T.3" localSheetId="11" hidden="1">{"'Sheet1'!$L$16"}</definedName>
    <definedName name="T.3" localSheetId="13" hidden="1">{"'Sheet1'!$L$16"}</definedName>
    <definedName name="T.3" localSheetId="14" hidden="1">{"'Sheet1'!$L$16"}</definedName>
    <definedName name="T.3" hidden="1">{"'Sheet1'!$L$16"}</definedName>
    <definedName name="tbl_ProdInfo" localSheetId="6" hidden="1">#REF!</definedName>
    <definedName name="tbl_ProdInfo" localSheetId="8" hidden="1">#REF!</definedName>
    <definedName name="tbl_ProdInfo" localSheetId="7" hidden="1">#REF!</definedName>
    <definedName name="tbl_ProdInfo" localSheetId="9" hidden="1">#REF!</definedName>
    <definedName name="tbl_ProdInfo" localSheetId="10" hidden="1">#REF!</definedName>
    <definedName name="tbl_ProdInfo" localSheetId="12" hidden="1">#REF!</definedName>
    <definedName name="tbl_ProdInfo" localSheetId="11" hidden="1">#REF!</definedName>
    <definedName name="tbl_ProdInfo" hidden="1">#REF!</definedName>
    <definedName name="tha" localSheetId="2" hidden="1">{"'Sheet1'!$L$16"}</definedName>
    <definedName name="tha" localSheetId="3" hidden="1">{"'Sheet1'!$L$16"}</definedName>
    <definedName name="tha" localSheetId="6" hidden="1">{"'Sheet1'!$L$16"}</definedName>
    <definedName name="tha" localSheetId="8" hidden="1">{"'Sheet1'!$L$16"}</definedName>
    <definedName name="tha" localSheetId="7" hidden="1">{"'Sheet1'!$L$16"}</definedName>
    <definedName name="tha" localSheetId="9" hidden="1">{"'Sheet1'!$L$16"}</definedName>
    <definedName name="tha" localSheetId="10" hidden="1">{"'Sheet1'!$L$16"}</definedName>
    <definedName name="tha" localSheetId="12" hidden="1">{"'Sheet1'!$L$16"}</definedName>
    <definedName name="tha" localSheetId="11" hidden="1">{"'Sheet1'!$L$16"}</definedName>
    <definedName name="tha" localSheetId="13" hidden="1">{"'Sheet1'!$L$16"}</definedName>
    <definedName name="tha" localSheetId="14" hidden="1">{"'Sheet1'!$L$16"}</definedName>
    <definedName name="tha" hidden="1">{"'Sheet1'!$L$16"}</definedName>
    <definedName name="trong" localSheetId="2" hidden="1">{"'Sheet1'!$L$16"}</definedName>
    <definedName name="trong" localSheetId="3" hidden="1">{"'Sheet1'!$L$16"}</definedName>
    <definedName name="trong" localSheetId="6" hidden="1">{"'Sheet1'!$L$16"}</definedName>
    <definedName name="trong" localSheetId="8" hidden="1">{"'Sheet1'!$L$16"}</definedName>
    <definedName name="trong" localSheetId="7" hidden="1">{"'Sheet1'!$L$16"}</definedName>
    <definedName name="trong" localSheetId="9" hidden="1">{"'Sheet1'!$L$16"}</definedName>
    <definedName name="trong" localSheetId="10" hidden="1">{"'Sheet1'!$L$16"}</definedName>
    <definedName name="trong" localSheetId="12" hidden="1">{"'Sheet1'!$L$16"}</definedName>
    <definedName name="trong" localSheetId="11" hidden="1">{"'Sheet1'!$L$16"}</definedName>
    <definedName name="trong" localSheetId="13" hidden="1">{"'Sheet1'!$L$16"}</definedName>
    <definedName name="trong" localSheetId="14" hidden="1">{"'Sheet1'!$L$16"}</definedName>
    <definedName name="trong" hidden="1">{"'Sheet1'!$L$16"}</definedName>
    <definedName name="ttttt" localSheetId="2" hidden="1">{"'Sheet1'!$L$16"}</definedName>
    <definedName name="ttttt" localSheetId="3" hidden="1">{"'Sheet1'!$L$16"}</definedName>
    <definedName name="ttttt" localSheetId="6" hidden="1">{"'Sheet1'!$L$16"}</definedName>
    <definedName name="ttttt" localSheetId="8" hidden="1">{"'Sheet1'!$L$16"}</definedName>
    <definedName name="ttttt" localSheetId="7" hidden="1">{"'Sheet1'!$L$16"}</definedName>
    <definedName name="ttttt" localSheetId="9" hidden="1">{"'Sheet1'!$L$16"}</definedName>
    <definedName name="ttttt" localSheetId="10" hidden="1">{"'Sheet1'!$L$16"}</definedName>
    <definedName name="ttttt" localSheetId="12" hidden="1">{"'Sheet1'!$L$16"}</definedName>
    <definedName name="ttttt" localSheetId="11" hidden="1">{"'Sheet1'!$L$16"}</definedName>
    <definedName name="ttttt" localSheetId="13" hidden="1">{"'Sheet1'!$L$16"}</definedName>
    <definedName name="ttttt" localSheetId="14" hidden="1">{"'Sheet1'!$L$16"}</definedName>
    <definedName name="ttttt" hidden="1">{"'Sheet1'!$L$16"}</definedName>
    <definedName name="ttttttttttt" localSheetId="2" hidden="1">{"'Sheet1'!$L$16"}</definedName>
    <definedName name="ttttttttttt" localSheetId="3" hidden="1">{"'Sheet1'!$L$16"}</definedName>
    <definedName name="ttttttttttt" localSheetId="6" hidden="1">{"'Sheet1'!$L$16"}</definedName>
    <definedName name="ttttttttttt" localSheetId="8" hidden="1">{"'Sheet1'!$L$16"}</definedName>
    <definedName name="ttttttttttt" localSheetId="7" hidden="1">{"'Sheet1'!$L$16"}</definedName>
    <definedName name="ttttttttttt" localSheetId="9" hidden="1">{"'Sheet1'!$L$16"}</definedName>
    <definedName name="ttttttttttt" localSheetId="10" hidden="1">{"'Sheet1'!$L$16"}</definedName>
    <definedName name="ttttttttttt" localSheetId="12" hidden="1">{"'Sheet1'!$L$16"}</definedName>
    <definedName name="ttttttttttt" localSheetId="11" hidden="1">{"'Sheet1'!$L$16"}</definedName>
    <definedName name="ttttttttttt" localSheetId="13" hidden="1">{"'Sheet1'!$L$16"}</definedName>
    <definedName name="ttttttttttt" localSheetId="14" hidden="1">{"'Sheet1'!$L$16"}</definedName>
    <definedName name="ttttttttttt" hidden="1">{"'Sheet1'!$L$16"}</definedName>
    <definedName name="tuyennhanh" localSheetId="2" hidden="1">{"'Sheet1'!$L$16"}</definedName>
    <definedName name="tuyennhanh" localSheetId="3" hidden="1">{"'Sheet1'!$L$16"}</definedName>
    <definedName name="tuyennhanh" localSheetId="6" hidden="1">{"'Sheet1'!$L$16"}</definedName>
    <definedName name="tuyennhanh" localSheetId="8" hidden="1">{"'Sheet1'!$L$16"}</definedName>
    <definedName name="tuyennhanh" localSheetId="7" hidden="1">{"'Sheet1'!$L$16"}</definedName>
    <definedName name="tuyennhanh" localSheetId="9" hidden="1">{"'Sheet1'!$L$16"}</definedName>
    <definedName name="tuyennhanh" localSheetId="10" hidden="1">{"'Sheet1'!$L$16"}</definedName>
    <definedName name="tuyennhanh" localSheetId="12" hidden="1">{"'Sheet1'!$L$16"}</definedName>
    <definedName name="tuyennhanh" localSheetId="11" hidden="1">{"'Sheet1'!$L$16"}</definedName>
    <definedName name="tuyennhanh" localSheetId="13" hidden="1">{"'Sheet1'!$L$16"}</definedName>
    <definedName name="tuyennhanh" localSheetId="14" hidden="1">{"'Sheet1'!$L$16"}</definedName>
    <definedName name="tuyennhanh" hidden="1">{"'Sheet1'!$L$16"}</definedName>
    <definedName name="uu" localSheetId="2" hidden="1">{"'Sheet1'!$L$16"}</definedName>
    <definedName name="uu" localSheetId="3" hidden="1">{"'Sheet1'!$L$16"}</definedName>
    <definedName name="uu" localSheetId="6" hidden="1">{"'Sheet1'!$L$16"}</definedName>
    <definedName name="uu" localSheetId="8" hidden="1">{"'Sheet1'!$L$16"}</definedName>
    <definedName name="uu" localSheetId="7" hidden="1">{"'Sheet1'!$L$16"}</definedName>
    <definedName name="uu" localSheetId="9" hidden="1">{"'Sheet1'!$L$16"}</definedName>
    <definedName name="uu" localSheetId="10" hidden="1">{"'Sheet1'!$L$16"}</definedName>
    <definedName name="uu" localSheetId="12" hidden="1">{"'Sheet1'!$L$16"}</definedName>
    <definedName name="uu" localSheetId="11" hidden="1">{"'Sheet1'!$L$16"}</definedName>
    <definedName name="uu" localSheetId="13" hidden="1">{"'Sheet1'!$L$16"}</definedName>
    <definedName name="uu" localSheetId="14" hidden="1">{"'Sheet1'!$L$16"}</definedName>
    <definedName name="uu" hidden="1">{"'Sheet1'!$L$16"}</definedName>
    <definedName name="VATM" localSheetId="2" hidden="1">{"'Sheet1'!$L$16"}</definedName>
    <definedName name="VATM" localSheetId="3" hidden="1">{"'Sheet1'!$L$16"}</definedName>
    <definedName name="VATM" localSheetId="6" hidden="1">{"'Sheet1'!$L$16"}</definedName>
    <definedName name="VATM" localSheetId="8" hidden="1">{"'Sheet1'!$L$16"}</definedName>
    <definedName name="VATM" localSheetId="7" hidden="1">{"'Sheet1'!$L$16"}</definedName>
    <definedName name="VATM" localSheetId="9" hidden="1">{"'Sheet1'!$L$16"}</definedName>
    <definedName name="VATM" localSheetId="10" hidden="1">{"'Sheet1'!$L$16"}</definedName>
    <definedName name="VATM" localSheetId="12" hidden="1">{"'Sheet1'!$L$16"}</definedName>
    <definedName name="VATM" localSheetId="11" hidden="1">{"'Sheet1'!$L$16"}</definedName>
    <definedName name="VATM" localSheetId="13" hidden="1">{"'Sheet1'!$L$16"}</definedName>
    <definedName name="VATM" localSheetId="14" hidden="1">{"'Sheet1'!$L$16"}</definedName>
    <definedName name="VATM" hidden="1">{"'Sheet1'!$L$16"}</definedName>
    <definedName name="vcoto" localSheetId="2" hidden="1">{"'Sheet1'!$L$16"}</definedName>
    <definedName name="vcoto" localSheetId="3" hidden="1">{"'Sheet1'!$L$16"}</definedName>
    <definedName name="vcoto" localSheetId="6" hidden="1">{"'Sheet1'!$L$16"}</definedName>
    <definedName name="vcoto" localSheetId="8" hidden="1">{"'Sheet1'!$L$16"}</definedName>
    <definedName name="vcoto" localSheetId="7" hidden="1">{"'Sheet1'!$L$16"}</definedName>
    <definedName name="vcoto" localSheetId="9" hidden="1">{"'Sheet1'!$L$16"}</definedName>
    <definedName name="vcoto" localSheetId="10" hidden="1">{"'Sheet1'!$L$16"}</definedName>
    <definedName name="vcoto" localSheetId="12" hidden="1">{"'Sheet1'!$L$16"}</definedName>
    <definedName name="vcoto" localSheetId="11" hidden="1">{"'Sheet1'!$L$16"}</definedName>
    <definedName name="vcoto" localSheetId="13" hidden="1">{"'Sheet1'!$L$16"}</definedName>
    <definedName name="vcoto" localSheetId="14" hidden="1">{"'Sheet1'!$L$16"}</definedName>
    <definedName name="vcoto" hidden="1">{"'Sheet1'!$L$16"}</definedName>
    <definedName name="VH" localSheetId="2" hidden="1">{"'Sheet1'!$L$16"}</definedName>
    <definedName name="VH" localSheetId="3" hidden="1">{"'Sheet1'!$L$16"}</definedName>
    <definedName name="VH" localSheetId="6" hidden="1">{"'Sheet1'!$L$16"}</definedName>
    <definedName name="VH" localSheetId="8" hidden="1">{"'Sheet1'!$L$16"}</definedName>
    <definedName name="VH" localSheetId="7" hidden="1">{"'Sheet1'!$L$16"}</definedName>
    <definedName name="VH" localSheetId="9" hidden="1">{"'Sheet1'!$L$16"}</definedName>
    <definedName name="VH" localSheetId="10" hidden="1">{"'Sheet1'!$L$16"}</definedName>
    <definedName name="VH" localSheetId="12" hidden="1">{"'Sheet1'!$L$16"}</definedName>
    <definedName name="VH" localSheetId="11" hidden="1">{"'Sheet1'!$L$16"}</definedName>
    <definedName name="VH" localSheetId="13" hidden="1">{"'Sheet1'!$L$16"}</definedName>
    <definedName name="VH" localSheetId="14" hidden="1">{"'Sheet1'!$L$16"}</definedName>
    <definedName name="VH" hidden="1">{"'Sheet1'!$L$16"}</definedName>
    <definedName name="Viet" localSheetId="2" hidden="1">{"'Sheet1'!$L$16"}</definedName>
    <definedName name="Viet" localSheetId="3" hidden="1">{"'Sheet1'!$L$16"}</definedName>
    <definedName name="Viet" localSheetId="6" hidden="1">{"'Sheet1'!$L$16"}</definedName>
    <definedName name="Viet" localSheetId="8" hidden="1">{"'Sheet1'!$L$16"}</definedName>
    <definedName name="Viet" localSheetId="7" hidden="1">{"'Sheet1'!$L$16"}</definedName>
    <definedName name="Viet" localSheetId="9" hidden="1">{"'Sheet1'!$L$16"}</definedName>
    <definedName name="Viet" localSheetId="10" hidden="1">{"'Sheet1'!$L$16"}</definedName>
    <definedName name="Viet" localSheetId="12" hidden="1">{"'Sheet1'!$L$16"}</definedName>
    <definedName name="Viet" localSheetId="11" hidden="1">{"'Sheet1'!$L$16"}</definedName>
    <definedName name="Viet" localSheetId="13" hidden="1">{"'Sheet1'!$L$16"}</definedName>
    <definedName name="Viet" localSheetId="14" hidden="1">{"'Sheet1'!$L$16"}</definedName>
    <definedName name="Viet" hidden="1">{"'Sheet1'!$L$16"}</definedName>
    <definedName name="vlct" localSheetId="2" hidden="1">{"'Sheet1'!$L$16"}</definedName>
    <definedName name="vlct" localSheetId="3" hidden="1">{"'Sheet1'!$L$16"}</definedName>
    <definedName name="vlct" localSheetId="6" hidden="1">{"'Sheet1'!$L$16"}</definedName>
    <definedName name="vlct" localSheetId="8" hidden="1">{"'Sheet1'!$L$16"}</definedName>
    <definedName name="vlct" localSheetId="7" hidden="1">{"'Sheet1'!$L$16"}</definedName>
    <definedName name="vlct" localSheetId="9" hidden="1">{"'Sheet1'!$L$16"}</definedName>
    <definedName name="vlct" localSheetId="10" hidden="1">{"'Sheet1'!$L$16"}</definedName>
    <definedName name="vlct" localSheetId="12" hidden="1">{"'Sheet1'!$L$16"}</definedName>
    <definedName name="vlct" localSheetId="11" hidden="1">{"'Sheet1'!$L$16"}</definedName>
    <definedName name="vlct" localSheetId="13" hidden="1">{"'Sheet1'!$L$16"}</definedName>
    <definedName name="vlct" localSheetId="14" hidden="1">{"'Sheet1'!$L$16"}</definedName>
    <definedName name="vlct" hidden="1">{"'Sheet1'!$L$16"}</definedName>
    <definedName name="wrn.Bang._.ke._.nhan._.hang." localSheetId="2" hidden="1">{#N/A,#N/A,FALSE,"Ke khai NH"}</definedName>
    <definedName name="wrn.Bang._.ke._.nhan._.hang." localSheetId="3" hidden="1">{#N/A,#N/A,FALSE,"Ke khai NH"}</definedName>
    <definedName name="wrn.Bang._.ke._.nhan._.hang." localSheetId="6" hidden="1">{#N/A,#N/A,FALSE,"Ke khai NH"}</definedName>
    <definedName name="wrn.Bang._.ke._.nhan._.hang." localSheetId="8" hidden="1">{#N/A,#N/A,FALSE,"Ke khai NH"}</definedName>
    <definedName name="wrn.Bang._.ke._.nhan._.hang." localSheetId="7" hidden="1">{#N/A,#N/A,FALSE,"Ke khai NH"}</definedName>
    <definedName name="wrn.Bang._.ke._.nhan._.hang." localSheetId="9" hidden="1">{#N/A,#N/A,FALSE,"Ke khai NH"}</definedName>
    <definedName name="wrn.Bang._.ke._.nhan._.hang." localSheetId="10" hidden="1">{#N/A,#N/A,FALSE,"Ke khai NH"}</definedName>
    <definedName name="wrn.Bang._.ke._.nhan._.hang." localSheetId="12" hidden="1">{#N/A,#N/A,FALSE,"Ke khai NH"}</definedName>
    <definedName name="wrn.Bang._.ke._.nhan._.hang." localSheetId="11" hidden="1">{#N/A,#N/A,FALSE,"Ke khai NH"}</definedName>
    <definedName name="wrn.Bang._.ke._.nhan._.hang." localSheetId="13" hidden="1">{#N/A,#N/A,FALSE,"Ke khai NH"}</definedName>
    <definedName name="wrn.Bang._.ke._.nhan._.hang." localSheetId="14"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localSheetId="6" hidden="1">{#N/A,#N/A,FALSE,"BN (2)"}</definedName>
    <definedName name="wrn.Che._.do._.duoc._.huong." localSheetId="8" hidden="1">{#N/A,#N/A,FALSE,"BN (2)"}</definedName>
    <definedName name="wrn.Che._.do._.duoc._.huong." localSheetId="7" hidden="1">{#N/A,#N/A,FALSE,"BN (2)"}</definedName>
    <definedName name="wrn.Che._.do._.duoc._.huong." localSheetId="9" hidden="1">{#N/A,#N/A,FALSE,"BN (2)"}</definedName>
    <definedName name="wrn.Che._.do._.duoc._.huong." localSheetId="10" hidden="1">{#N/A,#N/A,FALSE,"BN (2)"}</definedName>
    <definedName name="wrn.Che._.do._.duoc._.huong." localSheetId="12" hidden="1">{#N/A,#N/A,FALSE,"BN (2)"}</definedName>
    <definedName name="wrn.Che._.do._.duoc._.huong." localSheetId="11" hidden="1">{#N/A,#N/A,FALSE,"BN (2)"}</definedName>
    <definedName name="wrn.Che._.do._.duoc._.huong." localSheetId="13" hidden="1">{#N/A,#N/A,FALSE,"BN (2)"}</definedName>
    <definedName name="wrn.Che._.do._.duoc._.huong." localSheetId="14"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6" hidden="1">{#N/A,#N/A,FALSE,"Chi tiÆt"}</definedName>
    <definedName name="wrn.chi._.tiÆt." localSheetId="8" hidden="1">{#N/A,#N/A,FALSE,"Chi tiÆt"}</definedName>
    <definedName name="wrn.chi._.tiÆt." localSheetId="7" hidden="1">{#N/A,#N/A,FALSE,"Chi tiÆt"}</definedName>
    <definedName name="wrn.chi._.tiÆt." localSheetId="9" hidden="1">{#N/A,#N/A,FALSE,"Chi tiÆt"}</definedName>
    <definedName name="wrn.chi._.tiÆt." localSheetId="10" hidden="1">{#N/A,#N/A,FALSE,"Chi tiÆt"}</definedName>
    <definedName name="wrn.chi._.tiÆt." localSheetId="12" hidden="1">{#N/A,#N/A,FALSE,"Chi tiÆt"}</definedName>
    <definedName name="wrn.chi._.tiÆt." localSheetId="11" hidden="1">{#N/A,#N/A,FALSE,"Chi tiÆt"}</definedName>
    <definedName name="wrn.chi._.tiÆt." localSheetId="13" hidden="1">{#N/A,#N/A,FALSE,"Chi tiÆt"}</definedName>
    <definedName name="wrn.chi._.tiÆt." localSheetId="14" hidden="1">{#N/A,#N/A,FALSE,"Chi tiÆt"}</definedName>
    <definedName name="wrn.chi._.tiÆt." hidden="1">{#N/A,#N/A,FALSE,"Chi tiÆt"}</definedName>
    <definedName name="wrn.Giáy._.bao._.no." localSheetId="2" hidden="1">{#N/A,#N/A,FALSE,"BN"}</definedName>
    <definedName name="wrn.Giáy._.bao._.no." localSheetId="3" hidden="1">{#N/A,#N/A,FALSE,"BN"}</definedName>
    <definedName name="wrn.Giáy._.bao._.no." localSheetId="6" hidden="1">{#N/A,#N/A,FALSE,"BN"}</definedName>
    <definedName name="wrn.Giáy._.bao._.no." localSheetId="8" hidden="1">{#N/A,#N/A,FALSE,"BN"}</definedName>
    <definedName name="wrn.Giáy._.bao._.no." localSheetId="7" hidden="1">{#N/A,#N/A,FALSE,"BN"}</definedName>
    <definedName name="wrn.Giáy._.bao._.no." localSheetId="9" hidden="1">{#N/A,#N/A,FALSE,"BN"}</definedName>
    <definedName name="wrn.Giáy._.bao._.no." localSheetId="10" hidden="1">{#N/A,#N/A,FALSE,"BN"}</definedName>
    <definedName name="wrn.Giáy._.bao._.no." localSheetId="12" hidden="1">{#N/A,#N/A,FALSE,"BN"}</definedName>
    <definedName name="wrn.Giáy._.bao._.no." localSheetId="11" hidden="1">{#N/A,#N/A,FALSE,"BN"}</definedName>
    <definedName name="wrn.Giáy._.bao._.no." localSheetId="13" hidden="1">{#N/A,#N/A,FALSE,"BN"}</definedName>
    <definedName name="wrn.Giáy._.bao._.no." localSheetId="14" hidden="1">{#N/A,#N/A,FALSE,"BN"}</definedName>
    <definedName name="wrn.Giáy._.bao._.no." hidden="1">{#N/A,#N/A,FALSE,"BN"}</definedName>
    <definedName name="wrn.vd." localSheetId="2" hidden="1">{#N/A,#N/A,TRUE,"BT M200 da 10x20"}</definedName>
    <definedName name="wrn.vd." localSheetId="3" hidden="1">{#N/A,#N/A,TRUE,"BT M200 da 10x20"}</definedName>
    <definedName name="wrn.vd." localSheetId="6" hidden="1">{#N/A,#N/A,TRUE,"BT M200 da 10x20"}</definedName>
    <definedName name="wrn.vd." localSheetId="8" hidden="1">{#N/A,#N/A,TRUE,"BT M200 da 10x20"}</definedName>
    <definedName name="wrn.vd." localSheetId="7" hidden="1">{#N/A,#N/A,TRUE,"BT M200 da 10x20"}</definedName>
    <definedName name="wrn.vd." localSheetId="9" hidden="1">{#N/A,#N/A,TRUE,"BT M200 da 10x20"}</definedName>
    <definedName name="wrn.vd." localSheetId="10" hidden="1">{#N/A,#N/A,TRUE,"BT M200 da 10x20"}</definedName>
    <definedName name="wrn.vd." localSheetId="12" hidden="1">{#N/A,#N/A,TRUE,"BT M200 da 10x20"}</definedName>
    <definedName name="wrn.vd." localSheetId="11" hidden="1">{#N/A,#N/A,TRUE,"BT M200 da 10x20"}</definedName>
    <definedName name="wrn.vd." localSheetId="13" hidden="1">{#N/A,#N/A,TRUE,"BT M200 da 10x20"}</definedName>
    <definedName name="wrn.vd." localSheetId="14" hidden="1">{#N/A,#N/A,TRUE,"BT M200 da 10x20"}</definedName>
    <definedName name="wrn.vd." hidden="1">{#N/A,#N/A,TRUE,"BT M200 da 10x20"}</definedName>
    <definedName name="xls" localSheetId="2" hidden="1">{"'Sheet1'!$L$16"}</definedName>
    <definedName name="xls" localSheetId="3" hidden="1">{"'Sheet1'!$L$16"}</definedName>
    <definedName name="xls" localSheetId="6" hidden="1">{"'Sheet1'!$L$16"}</definedName>
    <definedName name="xls" localSheetId="8" hidden="1">{"'Sheet1'!$L$16"}</definedName>
    <definedName name="xls" localSheetId="7" hidden="1">{"'Sheet1'!$L$16"}</definedName>
    <definedName name="xls" localSheetId="9" hidden="1">{"'Sheet1'!$L$16"}</definedName>
    <definedName name="xls" localSheetId="10" hidden="1">{"'Sheet1'!$L$16"}</definedName>
    <definedName name="xls" localSheetId="12" hidden="1">{"'Sheet1'!$L$16"}</definedName>
    <definedName name="xls" localSheetId="11" hidden="1">{"'Sheet1'!$L$16"}</definedName>
    <definedName name="xls" localSheetId="13" hidden="1">{"'Sheet1'!$L$16"}</definedName>
    <definedName name="xls" localSheetId="14" hidden="1">{"'Sheet1'!$L$16"}</definedName>
    <definedName name="xls" hidden="1">{"'Sheet1'!$L$16"}</definedName>
    <definedName name="xlttbninh" localSheetId="2" hidden="1">{"'Sheet1'!$L$16"}</definedName>
    <definedName name="xlttbninh" localSheetId="3" hidden="1">{"'Sheet1'!$L$16"}</definedName>
    <definedName name="xlttbninh" localSheetId="6" hidden="1">{"'Sheet1'!$L$16"}</definedName>
    <definedName name="xlttbninh" localSheetId="8" hidden="1">{"'Sheet1'!$L$16"}</definedName>
    <definedName name="xlttbninh" localSheetId="7" hidden="1">{"'Sheet1'!$L$16"}</definedName>
    <definedName name="xlttbninh" localSheetId="9" hidden="1">{"'Sheet1'!$L$16"}</definedName>
    <definedName name="xlttbninh" localSheetId="10" hidden="1">{"'Sheet1'!$L$16"}</definedName>
    <definedName name="xlttbninh" localSheetId="12" hidden="1">{"'Sheet1'!$L$16"}</definedName>
    <definedName name="xlttbninh" localSheetId="11" hidden="1">{"'Sheet1'!$L$16"}</definedName>
    <definedName name="xlttbninh" localSheetId="13" hidden="1">{"'Sheet1'!$L$16"}</definedName>
    <definedName name="xlttbninh" localSheetId="14" hidden="1">{"'Sheet1'!$L$16"}</definedName>
    <definedName name="xlttbninh" hidden="1">{"'Sheet1'!$L$16"}</definedName>
  </definedNames>
  <calcPr calcId="191029"/>
</workbook>
</file>

<file path=xl/calcChain.xml><?xml version="1.0" encoding="utf-8"?>
<calcChain xmlns="http://schemas.openxmlformats.org/spreadsheetml/2006/main">
  <c r="G35" i="30" l="1"/>
  <c r="G51" i="30"/>
  <c r="F52" i="30"/>
  <c r="G52" i="30" s="1"/>
  <c r="G62" i="30"/>
  <c r="F46" i="30"/>
  <c r="F57" i="30"/>
  <c r="L29" i="28" l="1"/>
  <c r="K29" i="28"/>
  <c r="G29" i="28"/>
  <c r="L28" i="28"/>
  <c r="K28" i="28"/>
  <c r="G28" i="28"/>
  <c r="L27" i="28"/>
  <c r="K27" i="28"/>
  <c r="G27" i="28"/>
  <c r="L25" i="28"/>
  <c r="K25" i="28"/>
  <c r="G25" i="28"/>
  <c r="L24" i="28"/>
  <c r="K24" i="28"/>
  <c r="G24" i="28"/>
  <c r="L23" i="28"/>
  <c r="K23" i="28"/>
  <c r="G23" i="28"/>
  <c r="L22" i="28"/>
  <c r="K22" i="28"/>
  <c r="G22" i="28"/>
  <c r="L21" i="28"/>
  <c r="K21" i="28"/>
  <c r="G21" i="28"/>
  <c r="L20" i="28"/>
  <c r="K20" i="28"/>
  <c r="G20" i="28"/>
  <c r="L19" i="28"/>
  <c r="K19" i="28"/>
  <c r="G19" i="28"/>
  <c r="L18" i="28"/>
  <c r="K18" i="28"/>
  <c r="G18" i="28"/>
  <c r="L17" i="28"/>
  <c r="K17" i="28"/>
  <c r="G17" i="28"/>
  <c r="L16" i="28"/>
  <c r="K16" i="28"/>
  <c r="G16" i="28"/>
  <c r="L15" i="28"/>
  <c r="K15" i="28"/>
  <c r="G15" i="28"/>
  <c r="L14" i="28"/>
  <c r="K14" i="28"/>
  <c r="G14" i="28"/>
  <c r="L13" i="28"/>
  <c r="K13" i="28"/>
  <c r="G13" i="28"/>
  <c r="J12" i="28"/>
  <c r="I12" i="28"/>
  <c r="H12" i="28"/>
  <c r="F12" i="28"/>
  <c r="E12" i="28"/>
  <c r="D12" i="28"/>
  <c r="C12" i="28"/>
  <c r="I11" i="28"/>
  <c r="J11" i="28" s="1"/>
  <c r="D11" i="28"/>
  <c r="E11" i="28" s="1"/>
  <c r="F11" i="28" s="1"/>
  <c r="G12" i="28" l="1"/>
  <c r="L12" i="28"/>
  <c r="K12" i="28"/>
  <c r="E16" i="6"/>
  <c r="F18" i="6"/>
  <c r="G12" i="24"/>
  <c r="D45" i="7" l="1"/>
  <c r="E28" i="6"/>
  <c r="O18" i="22"/>
  <c r="O11" i="22"/>
  <c r="F17" i="24"/>
  <c r="F18" i="24"/>
  <c r="G46" i="30"/>
  <c r="O73" i="33" l="1"/>
  <c r="O13" i="33" s="1"/>
  <c r="F32" i="24" l="1"/>
  <c r="G59" i="24"/>
  <c r="F59" i="24"/>
  <c r="D28" i="7"/>
  <c r="H13" i="32" l="1"/>
  <c r="I13" i="32"/>
  <c r="K13" i="32"/>
  <c r="L13" i="32"/>
  <c r="O13" i="32"/>
  <c r="P13" i="32"/>
  <c r="R13" i="32"/>
  <c r="S13" i="32"/>
  <c r="V13" i="32"/>
  <c r="W13" i="32"/>
  <c r="Y13" i="32"/>
  <c r="Z13" i="32"/>
  <c r="AF13" i="32"/>
  <c r="AG13" i="32"/>
  <c r="AI13" i="32"/>
  <c r="AJ13" i="32"/>
  <c r="AM13" i="32"/>
  <c r="AN13" i="32"/>
  <c r="AP13" i="32"/>
  <c r="AQ13" i="32"/>
  <c r="AT13" i="32"/>
  <c r="AU13" i="32"/>
  <c r="AW13" i="32"/>
  <c r="AX13" i="32"/>
  <c r="AO41" i="32"/>
  <c r="AC41" i="32" s="1"/>
  <c r="AL41" i="32"/>
  <c r="AK41" i="32" s="1"/>
  <c r="Q41" i="32"/>
  <c r="N41" i="32"/>
  <c r="M41" i="32" s="1"/>
  <c r="J41" i="32"/>
  <c r="F41" i="32" s="1"/>
  <c r="D41" i="32" l="1"/>
  <c r="AB41" i="32"/>
  <c r="AA41" i="32" s="1"/>
  <c r="E41" i="32"/>
  <c r="C41" i="32" l="1"/>
  <c r="AA120" i="33" l="1"/>
  <c r="AA11" i="33" s="1"/>
  <c r="U120" i="33"/>
  <c r="P120" i="33"/>
  <c r="N120" i="33" s="1"/>
  <c r="K120" i="33"/>
  <c r="C120" i="33" s="1"/>
  <c r="U119" i="33"/>
  <c r="P119" i="33"/>
  <c r="N119" i="33" s="1"/>
  <c r="K119" i="33"/>
  <c r="C119" i="33" s="1"/>
  <c r="U118" i="33"/>
  <c r="P118" i="33"/>
  <c r="K118" i="33"/>
  <c r="C118" i="33" s="1"/>
  <c r="P117" i="33"/>
  <c r="N117" i="33"/>
  <c r="C117" i="33"/>
  <c r="X116" i="33"/>
  <c r="U116" i="33"/>
  <c r="P116" i="33"/>
  <c r="K116" i="33"/>
  <c r="C116" i="33" s="1"/>
  <c r="X115" i="33"/>
  <c r="U115" i="33"/>
  <c r="P115" i="33"/>
  <c r="K115" i="33"/>
  <c r="C115" i="33" s="1"/>
  <c r="X114" i="33"/>
  <c r="U114" i="33"/>
  <c r="T114" i="33"/>
  <c r="P114" i="33"/>
  <c r="K114" i="33"/>
  <c r="C114" i="33" s="1"/>
  <c r="X113" i="33"/>
  <c r="U113" i="33"/>
  <c r="S113" i="33"/>
  <c r="P113" i="33"/>
  <c r="K113" i="33"/>
  <c r="I113" i="33"/>
  <c r="P112" i="33"/>
  <c r="C112" i="33"/>
  <c r="P111" i="33"/>
  <c r="AD111" i="33" s="1"/>
  <c r="C111" i="33"/>
  <c r="P110" i="33"/>
  <c r="C110" i="33"/>
  <c r="P109" i="33"/>
  <c r="F109" i="33"/>
  <c r="E109" i="33"/>
  <c r="P108" i="33"/>
  <c r="K108" i="33"/>
  <c r="C108" i="33" s="1"/>
  <c r="X107" i="33"/>
  <c r="U107" i="33"/>
  <c r="P107" i="33"/>
  <c r="K107" i="33"/>
  <c r="D107" i="33"/>
  <c r="X106" i="33"/>
  <c r="U106" i="33"/>
  <c r="P106" i="33"/>
  <c r="K106" i="33"/>
  <c r="C106" i="33" s="1"/>
  <c r="AC105" i="33"/>
  <c r="X105" i="33"/>
  <c r="U105" i="33"/>
  <c r="P105" i="33"/>
  <c r="K105" i="33"/>
  <c r="C105" i="33" s="1"/>
  <c r="AC104" i="33"/>
  <c r="X104" i="33"/>
  <c r="U104" i="33"/>
  <c r="P104" i="33"/>
  <c r="K104" i="33"/>
  <c r="C104" i="33" s="1"/>
  <c r="AC103" i="33"/>
  <c r="X103" i="33"/>
  <c r="U103" i="33"/>
  <c r="P103" i="33"/>
  <c r="K103" i="33"/>
  <c r="C103" i="33" s="1"/>
  <c r="AC102" i="33"/>
  <c r="X102" i="33"/>
  <c r="U102" i="33"/>
  <c r="P102" i="33"/>
  <c r="N102" i="33" s="1"/>
  <c r="K102" i="33"/>
  <c r="C102" i="33" s="1"/>
  <c r="AC101" i="33"/>
  <c r="X101" i="33"/>
  <c r="U101" i="33"/>
  <c r="P101" i="33"/>
  <c r="K101" i="33"/>
  <c r="C101" i="33" s="1"/>
  <c r="X100" i="33"/>
  <c r="U100" i="33"/>
  <c r="P100" i="33"/>
  <c r="AC100" i="33"/>
  <c r="K100" i="33"/>
  <c r="C100" i="33" s="1"/>
  <c r="AC99" i="33"/>
  <c r="X99" i="33"/>
  <c r="U99" i="33"/>
  <c r="P99" i="33"/>
  <c r="K99" i="33"/>
  <c r="C99" i="33" s="1"/>
  <c r="AC98" i="33"/>
  <c r="X98" i="33"/>
  <c r="U98" i="33"/>
  <c r="P98" i="33"/>
  <c r="K98" i="33"/>
  <c r="C98" i="33" s="1"/>
  <c r="Z97" i="33"/>
  <c r="Y97" i="33"/>
  <c r="V97" i="33"/>
  <c r="T97" i="33"/>
  <c r="S97" i="33"/>
  <c r="R97" i="33"/>
  <c r="Q97" i="33"/>
  <c r="O97" i="33"/>
  <c r="O12" i="33" s="1"/>
  <c r="M97" i="33"/>
  <c r="L97" i="33"/>
  <c r="J97" i="33"/>
  <c r="I97" i="33"/>
  <c r="E97" i="33"/>
  <c r="P96" i="33"/>
  <c r="E96" i="33"/>
  <c r="C96" i="33"/>
  <c r="P95" i="33"/>
  <c r="N95" i="33" s="1"/>
  <c r="E95" i="33"/>
  <c r="C95" i="33" s="1"/>
  <c r="P94" i="33"/>
  <c r="N94" i="33" s="1"/>
  <c r="E94" i="33"/>
  <c r="C94" i="33" s="1"/>
  <c r="P93" i="33"/>
  <c r="N93" i="33" s="1"/>
  <c r="E93" i="33"/>
  <c r="P92" i="33"/>
  <c r="N92" i="33" s="1"/>
  <c r="E92" i="33"/>
  <c r="D92" i="33"/>
  <c r="P91" i="33"/>
  <c r="N91" i="33" s="1"/>
  <c r="E91" i="33"/>
  <c r="P90" i="33"/>
  <c r="N90" i="33" s="1"/>
  <c r="E90" i="33"/>
  <c r="P89" i="33"/>
  <c r="E89" i="33"/>
  <c r="C89" i="33"/>
  <c r="P88" i="33"/>
  <c r="N88" i="33" s="1"/>
  <c r="E88" i="33"/>
  <c r="C88" i="33" s="1"/>
  <c r="P87" i="33"/>
  <c r="N87" i="33" s="1"/>
  <c r="E87" i="33"/>
  <c r="C87" i="33" s="1"/>
  <c r="P86" i="33"/>
  <c r="N86" i="33" s="1"/>
  <c r="E86" i="33"/>
  <c r="C86" i="33" s="1"/>
  <c r="P85" i="33"/>
  <c r="N85" i="33" s="1"/>
  <c r="E85" i="33"/>
  <c r="P84" i="33"/>
  <c r="E84" i="33"/>
  <c r="U83" i="33"/>
  <c r="R83" i="33"/>
  <c r="P83" i="33" s="1"/>
  <c r="E83" i="33"/>
  <c r="C83" i="33" s="1"/>
  <c r="U82" i="33"/>
  <c r="R82" i="33"/>
  <c r="K82" i="33"/>
  <c r="E82" i="33"/>
  <c r="U81" i="33"/>
  <c r="P81" i="33"/>
  <c r="K81" i="33"/>
  <c r="E81" i="33"/>
  <c r="U80" i="33"/>
  <c r="R80" i="33"/>
  <c r="P80" i="33" s="1"/>
  <c r="K80" i="33"/>
  <c r="E80" i="33"/>
  <c r="U79" i="33"/>
  <c r="R79" i="33"/>
  <c r="P79" i="33" s="1"/>
  <c r="K79" i="33"/>
  <c r="E79" i="33"/>
  <c r="U78" i="33"/>
  <c r="P78" i="33"/>
  <c r="N78" i="33" s="1"/>
  <c r="K78" i="33"/>
  <c r="E78" i="33"/>
  <c r="U77" i="33"/>
  <c r="P77" i="33"/>
  <c r="N77" i="33" s="1"/>
  <c r="K77" i="33"/>
  <c r="E77" i="33"/>
  <c r="U76" i="33"/>
  <c r="P76" i="33"/>
  <c r="N76" i="33" s="1"/>
  <c r="K76" i="33"/>
  <c r="E76" i="33"/>
  <c r="U75" i="33"/>
  <c r="P75" i="33"/>
  <c r="K75" i="33"/>
  <c r="E75" i="33"/>
  <c r="U74" i="33"/>
  <c r="P74" i="33"/>
  <c r="K74" i="33"/>
  <c r="E74" i="33"/>
  <c r="U73" i="33"/>
  <c r="P73" i="33"/>
  <c r="K73" i="33"/>
  <c r="F73" i="33"/>
  <c r="E73" i="33" s="1"/>
  <c r="D73" i="33"/>
  <c r="AC73" i="33" s="1"/>
  <c r="U72" i="33"/>
  <c r="P72" i="33"/>
  <c r="N72" i="33" s="1"/>
  <c r="K72" i="33"/>
  <c r="E72" i="33"/>
  <c r="U71" i="33"/>
  <c r="P71" i="33"/>
  <c r="K71" i="33"/>
  <c r="E71" i="33"/>
  <c r="U70" i="33"/>
  <c r="Q70" i="33"/>
  <c r="P70" i="33" s="1"/>
  <c r="N70" i="33" s="1"/>
  <c r="K70" i="33"/>
  <c r="E70" i="33"/>
  <c r="U69" i="33"/>
  <c r="P69" i="33"/>
  <c r="K69" i="33"/>
  <c r="E69" i="33"/>
  <c r="U68" i="33"/>
  <c r="P68" i="33"/>
  <c r="K68" i="33"/>
  <c r="E68" i="33"/>
  <c r="U67" i="33"/>
  <c r="P67" i="33"/>
  <c r="N67" i="33" s="1"/>
  <c r="K67" i="33"/>
  <c r="E67" i="33"/>
  <c r="U66" i="33"/>
  <c r="P66" i="33"/>
  <c r="K66" i="33"/>
  <c r="F66" i="33"/>
  <c r="E66" i="33" s="1"/>
  <c r="U65" i="33"/>
  <c r="P65" i="33"/>
  <c r="N65" i="33" s="1"/>
  <c r="K65" i="33"/>
  <c r="E65" i="33"/>
  <c r="U64" i="33"/>
  <c r="P64" i="33"/>
  <c r="K64" i="33"/>
  <c r="E64" i="33"/>
  <c r="U63" i="33"/>
  <c r="P63" i="33"/>
  <c r="K63" i="33"/>
  <c r="E63" i="33"/>
  <c r="U62" i="33"/>
  <c r="P62" i="33"/>
  <c r="K62" i="33"/>
  <c r="E62" i="33"/>
  <c r="U61" i="33"/>
  <c r="P61" i="33"/>
  <c r="N61" i="33" s="1"/>
  <c r="K61" i="33"/>
  <c r="E61" i="33"/>
  <c r="C61" i="33"/>
  <c r="U60" i="33"/>
  <c r="P60" i="33"/>
  <c r="K60" i="33"/>
  <c r="E60" i="33"/>
  <c r="U59" i="33"/>
  <c r="P59" i="33"/>
  <c r="K59" i="33"/>
  <c r="E59" i="33"/>
  <c r="U58" i="33"/>
  <c r="P58" i="33"/>
  <c r="K58" i="33"/>
  <c r="E58" i="33"/>
  <c r="U57" i="33"/>
  <c r="P57" i="33"/>
  <c r="K57" i="33"/>
  <c r="E57" i="33"/>
  <c r="C57" i="33"/>
  <c r="U56" i="33"/>
  <c r="P56" i="33"/>
  <c r="K56" i="33"/>
  <c r="E56" i="33"/>
  <c r="U55" i="33"/>
  <c r="Q55" i="33"/>
  <c r="P55" i="33" s="1"/>
  <c r="K55" i="33"/>
  <c r="H55" i="33"/>
  <c r="H13" i="33" s="1"/>
  <c r="H12" i="33" s="1"/>
  <c r="H11" i="33" s="1"/>
  <c r="F55" i="33"/>
  <c r="U54" i="33"/>
  <c r="Q54" i="33"/>
  <c r="P54" i="33" s="1"/>
  <c r="N54" i="33" s="1"/>
  <c r="K54" i="33"/>
  <c r="E54" i="33"/>
  <c r="U53" i="33"/>
  <c r="P53" i="33"/>
  <c r="N53" i="33" s="1"/>
  <c r="K53" i="33"/>
  <c r="E53" i="33"/>
  <c r="U52" i="33"/>
  <c r="P52" i="33"/>
  <c r="K52" i="33"/>
  <c r="E52" i="33"/>
  <c r="U51" i="33"/>
  <c r="P51" i="33"/>
  <c r="K51" i="33"/>
  <c r="E51" i="33"/>
  <c r="U50" i="33"/>
  <c r="P50" i="33"/>
  <c r="K50" i="33"/>
  <c r="E50" i="33"/>
  <c r="U49" i="33"/>
  <c r="P49" i="33"/>
  <c r="K49" i="33"/>
  <c r="E49" i="33"/>
  <c r="U48" i="33"/>
  <c r="P48" i="33"/>
  <c r="K48" i="33"/>
  <c r="E48" i="33"/>
  <c r="D48" i="33"/>
  <c r="U47" i="33"/>
  <c r="Q47" i="33"/>
  <c r="P47" i="33" s="1"/>
  <c r="K47" i="33"/>
  <c r="E47" i="33"/>
  <c r="U46" i="33"/>
  <c r="Q46" i="33"/>
  <c r="P46" i="33" s="1"/>
  <c r="K46" i="33"/>
  <c r="E46" i="33"/>
  <c r="C46" i="33" s="1"/>
  <c r="U45" i="33"/>
  <c r="Q45" i="33"/>
  <c r="P45" i="33" s="1"/>
  <c r="K45" i="33"/>
  <c r="E45" i="33"/>
  <c r="U44" i="33"/>
  <c r="P44" i="33"/>
  <c r="N44" i="33" s="1"/>
  <c r="K44" i="33"/>
  <c r="E44" i="33"/>
  <c r="U43" i="33"/>
  <c r="Q43" i="33"/>
  <c r="P43" i="33" s="1"/>
  <c r="K43" i="33"/>
  <c r="E43" i="33"/>
  <c r="D43" i="33"/>
  <c r="U42" i="33"/>
  <c r="Q42" i="33"/>
  <c r="P42" i="33" s="1"/>
  <c r="K42" i="33"/>
  <c r="E42" i="33"/>
  <c r="U41" i="33"/>
  <c r="Q41" i="33"/>
  <c r="P41" i="33" s="1"/>
  <c r="K41" i="33"/>
  <c r="E41" i="33"/>
  <c r="U40" i="33"/>
  <c r="P40" i="33"/>
  <c r="N40" i="33" s="1"/>
  <c r="K40" i="33"/>
  <c r="E40" i="33"/>
  <c r="AD40" i="33" s="1"/>
  <c r="U39" i="33"/>
  <c r="P39" i="33"/>
  <c r="N39" i="33" s="1"/>
  <c r="K39" i="33"/>
  <c r="E39" i="33"/>
  <c r="U38" i="33"/>
  <c r="Q38" i="33"/>
  <c r="P38" i="33" s="1"/>
  <c r="K38" i="33"/>
  <c r="E38" i="33"/>
  <c r="U37" i="33"/>
  <c r="Q37" i="33"/>
  <c r="P37" i="33" s="1"/>
  <c r="K37" i="33"/>
  <c r="E37" i="33"/>
  <c r="U36" i="33"/>
  <c r="P36" i="33"/>
  <c r="N36" i="33" s="1"/>
  <c r="K36" i="33"/>
  <c r="E36" i="33"/>
  <c r="AC35" i="33"/>
  <c r="P35" i="33"/>
  <c r="K35" i="33"/>
  <c r="E35" i="33"/>
  <c r="U34" i="33"/>
  <c r="P34" i="33"/>
  <c r="N34" i="33" s="1"/>
  <c r="K34" i="33"/>
  <c r="E34" i="33"/>
  <c r="U33" i="33"/>
  <c r="Q33" i="33"/>
  <c r="P33" i="33" s="1"/>
  <c r="N33" i="33" s="1"/>
  <c r="K33" i="33"/>
  <c r="E33" i="33"/>
  <c r="U32" i="33"/>
  <c r="Q32" i="33"/>
  <c r="P32" i="33" s="1"/>
  <c r="K32" i="33"/>
  <c r="E32" i="33"/>
  <c r="U31" i="33"/>
  <c r="Q31" i="33"/>
  <c r="P31" i="33" s="1"/>
  <c r="K31" i="33"/>
  <c r="E31" i="33"/>
  <c r="U30" i="33"/>
  <c r="Q30" i="33"/>
  <c r="P30" i="33" s="1"/>
  <c r="K30" i="33"/>
  <c r="E30" i="33"/>
  <c r="D30" i="33"/>
  <c r="AC29" i="33"/>
  <c r="U29" i="33"/>
  <c r="Q29" i="33"/>
  <c r="P29" i="33" s="1"/>
  <c r="N29" i="33" s="1"/>
  <c r="K29" i="33"/>
  <c r="E29" i="33"/>
  <c r="U28" i="33"/>
  <c r="Q28" i="33"/>
  <c r="P28" i="33" s="1"/>
  <c r="K28" i="33"/>
  <c r="E28" i="33"/>
  <c r="U27" i="33"/>
  <c r="Q27" i="33"/>
  <c r="P27" i="33" s="1"/>
  <c r="K27" i="33"/>
  <c r="E27" i="33"/>
  <c r="AC26" i="33"/>
  <c r="U26" i="33"/>
  <c r="R26" i="33"/>
  <c r="P26" i="33" s="1"/>
  <c r="K26" i="33"/>
  <c r="E26" i="33"/>
  <c r="U25" i="33"/>
  <c r="Q25" i="33"/>
  <c r="P25" i="33" s="1"/>
  <c r="K25" i="33"/>
  <c r="E25" i="33"/>
  <c r="W24" i="33"/>
  <c r="U24" i="33" s="1"/>
  <c r="Q24" i="33"/>
  <c r="P24" i="33" s="1"/>
  <c r="N24" i="33" s="1"/>
  <c r="K24" i="33"/>
  <c r="E24" i="33"/>
  <c r="W23" i="33"/>
  <c r="U23" i="33"/>
  <c r="Q23" i="33"/>
  <c r="P23" i="33" s="1"/>
  <c r="K23" i="33"/>
  <c r="E23" i="33"/>
  <c r="AC22" i="33"/>
  <c r="W22" i="33"/>
  <c r="U22" i="33" s="1"/>
  <c r="Q22" i="33"/>
  <c r="P22" i="33" s="1"/>
  <c r="K22" i="33"/>
  <c r="E22" i="33"/>
  <c r="AC21" i="33"/>
  <c r="U21" i="33"/>
  <c r="Q21" i="33"/>
  <c r="P21" i="33" s="1"/>
  <c r="K21" i="33"/>
  <c r="E21" i="33"/>
  <c r="AC20" i="33"/>
  <c r="W20" i="33"/>
  <c r="U20" i="33" s="1"/>
  <c r="Q20" i="33"/>
  <c r="P20" i="33" s="1"/>
  <c r="K20" i="33"/>
  <c r="E20" i="33"/>
  <c r="AC19" i="33"/>
  <c r="U19" i="33"/>
  <c r="Q19" i="33"/>
  <c r="P19" i="33" s="1"/>
  <c r="K19" i="33"/>
  <c r="E19" i="33"/>
  <c r="U18" i="33"/>
  <c r="P18" i="33"/>
  <c r="K18" i="33"/>
  <c r="E18" i="33"/>
  <c r="U17" i="33"/>
  <c r="P17" i="33"/>
  <c r="K17" i="33"/>
  <c r="E17" i="33"/>
  <c r="U16" i="33"/>
  <c r="Q16" i="33"/>
  <c r="P16" i="33" s="1"/>
  <c r="K16" i="33"/>
  <c r="H16" i="33"/>
  <c r="E16" i="33"/>
  <c r="AC15" i="33"/>
  <c r="U15" i="33"/>
  <c r="P15" i="33"/>
  <c r="K15" i="33"/>
  <c r="E15" i="33"/>
  <c r="W14" i="33"/>
  <c r="U14" i="33" s="1"/>
  <c r="Q14" i="33"/>
  <c r="P14" i="33" s="1"/>
  <c r="K14" i="33"/>
  <c r="E14" i="33"/>
  <c r="AA13" i="33"/>
  <c r="Z13" i="33"/>
  <c r="Y13" i="33"/>
  <c r="Y12" i="33" s="1"/>
  <c r="Y11" i="33" s="1"/>
  <c r="X13" i="33"/>
  <c r="V13" i="33"/>
  <c r="V12" i="33" s="1"/>
  <c r="V11" i="33" s="1"/>
  <c r="T13" i="33"/>
  <c r="S13" i="33"/>
  <c r="S12" i="33" s="1"/>
  <c r="S11" i="33" s="1"/>
  <c r="M13" i="33"/>
  <c r="M12" i="33" s="1"/>
  <c r="M11" i="33" s="1"/>
  <c r="L13" i="33"/>
  <c r="L12" i="33" s="1"/>
  <c r="L11" i="33" s="1"/>
  <c r="J13" i="33"/>
  <c r="I13" i="33"/>
  <c r="G13" i="33"/>
  <c r="G12" i="33" s="1"/>
  <c r="G11" i="33" s="1"/>
  <c r="J12" i="33"/>
  <c r="J11" i="33" s="1"/>
  <c r="N19" i="33" l="1"/>
  <c r="C21" i="33"/>
  <c r="C48" i="33"/>
  <c r="N107" i="33"/>
  <c r="I12" i="33"/>
  <c r="I11" i="33" s="1"/>
  <c r="N27" i="33"/>
  <c r="C78" i="33"/>
  <c r="C79" i="33"/>
  <c r="AD18" i="33"/>
  <c r="AD26" i="33"/>
  <c r="AD30" i="33"/>
  <c r="C37" i="33"/>
  <c r="AD42" i="33"/>
  <c r="N49" i="33"/>
  <c r="AD57" i="33"/>
  <c r="C58" i="33"/>
  <c r="AD58" i="33"/>
  <c r="N59" i="33"/>
  <c r="AD63" i="33"/>
  <c r="C65" i="33"/>
  <c r="AD75" i="33"/>
  <c r="C82" i="33"/>
  <c r="AD89" i="33"/>
  <c r="T12" i="33"/>
  <c r="T11" i="33" s="1"/>
  <c r="N114" i="33"/>
  <c r="AB114" i="33" s="1"/>
  <c r="N116" i="33"/>
  <c r="AB116" i="33" s="1"/>
  <c r="D13" i="33"/>
  <c r="N64" i="33"/>
  <c r="N68" i="33"/>
  <c r="N81" i="33"/>
  <c r="AD15" i="33"/>
  <c r="C14" i="33"/>
  <c r="C19" i="33"/>
  <c r="AB19" i="33" s="1"/>
  <c r="C69" i="33"/>
  <c r="AD84" i="33"/>
  <c r="N99" i="33"/>
  <c r="X97" i="33"/>
  <c r="X12" i="33" s="1"/>
  <c r="X11" i="33" s="1"/>
  <c r="C113" i="33"/>
  <c r="AD43" i="33"/>
  <c r="N69" i="33"/>
  <c r="N80" i="33"/>
  <c r="N113" i="33"/>
  <c r="AB113" i="33" s="1"/>
  <c r="C51" i="33"/>
  <c r="N56" i="33"/>
  <c r="AD71" i="33"/>
  <c r="N106" i="33"/>
  <c r="C20" i="33"/>
  <c r="N31" i="33"/>
  <c r="N51" i="33"/>
  <c r="AB51" i="33" s="1"/>
  <c r="AD69" i="33"/>
  <c r="N73" i="33"/>
  <c r="N103" i="33"/>
  <c r="AB103" i="33"/>
  <c r="AD22" i="33"/>
  <c r="N22" i="33"/>
  <c r="AC13" i="33"/>
  <c r="C52" i="33"/>
  <c r="C62" i="33"/>
  <c r="C81" i="33"/>
  <c r="N104" i="33"/>
  <c r="AB104" i="33" s="1"/>
  <c r="F13" i="33"/>
  <c r="F12" i="33" s="1"/>
  <c r="F11" i="33" s="1"/>
  <c r="Q13" i="33"/>
  <c r="Q12" i="33" s="1"/>
  <c r="Q11" i="33" s="1"/>
  <c r="K13" i="33"/>
  <c r="C22" i="33"/>
  <c r="E55" i="33"/>
  <c r="AD55" i="33" s="1"/>
  <c r="AD62" i="33"/>
  <c r="AD87" i="33"/>
  <c r="N115" i="33"/>
  <c r="N15" i="33"/>
  <c r="N16" i="33"/>
  <c r="N18" i="33"/>
  <c r="C23" i="33"/>
  <c r="AD24" i="33"/>
  <c r="C26" i="33"/>
  <c r="C27" i="33"/>
  <c r="C31" i="33"/>
  <c r="N37" i="33"/>
  <c r="AB37" i="33" s="1"/>
  <c r="N42" i="33"/>
  <c r="C45" i="33"/>
  <c r="AD59" i="33"/>
  <c r="AD65" i="33"/>
  <c r="C70" i="33"/>
  <c r="AB70" i="33" s="1"/>
  <c r="N75" i="33"/>
  <c r="C80" i="33"/>
  <c r="N89" i="33"/>
  <c r="N101" i="33"/>
  <c r="AB101" i="33" s="1"/>
  <c r="N26" i="33"/>
  <c r="C29" i="33"/>
  <c r="C30" i="33"/>
  <c r="C38" i="33"/>
  <c r="AD86" i="33"/>
  <c r="K97" i="33"/>
  <c r="Z12" i="33"/>
  <c r="Z11" i="33" s="1"/>
  <c r="AD112" i="33"/>
  <c r="AD34" i="33"/>
  <c r="N45" i="33"/>
  <c r="AD61" i="33"/>
  <c r="AD88" i="33"/>
  <c r="W13" i="33"/>
  <c r="W12" i="33" s="1"/>
  <c r="W11" i="33" s="1"/>
  <c r="C16" i="33"/>
  <c r="C40" i="33"/>
  <c r="AB40" i="33" s="1"/>
  <c r="C43" i="33"/>
  <c r="AD47" i="33"/>
  <c r="N50" i="33"/>
  <c r="N57" i="33"/>
  <c r="N60" i="33"/>
  <c r="N63" i="33"/>
  <c r="N74" i="33"/>
  <c r="N79" i="33"/>
  <c r="N84" i="33"/>
  <c r="C90" i="33"/>
  <c r="N98" i="33"/>
  <c r="AD33" i="33"/>
  <c r="C33" i="33"/>
  <c r="U13" i="33"/>
  <c r="AD29" i="33"/>
  <c r="AB31" i="33"/>
  <c r="AD38" i="33"/>
  <c r="N38" i="33"/>
  <c r="N55" i="33"/>
  <c r="C73" i="33"/>
  <c r="AB73" i="33" s="1"/>
  <c r="AD83" i="33"/>
  <c r="N83" i="33"/>
  <c r="AD85" i="33"/>
  <c r="P97" i="33"/>
  <c r="C107" i="33"/>
  <c r="D97" i="33"/>
  <c r="AD109" i="33"/>
  <c r="N118" i="33"/>
  <c r="AD14" i="33"/>
  <c r="N14" i="33"/>
  <c r="N28" i="33"/>
  <c r="AD28" i="33"/>
  <c r="O11" i="33"/>
  <c r="AD16" i="33"/>
  <c r="AD19" i="33"/>
  <c r="C24" i="33"/>
  <c r="AD31" i="33"/>
  <c r="AB33" i="33"/>
  <c r="AD41" i="33"/>
  <c r="N41" i="33"/>
  <c r="AD46" i="33"/>
  <c r="N46" i="33"/>
  <c r="C64" i="33"/>
  <c r="AB64" i="33" s="1"/>
  <c r="AD64" i="33"/>
  <c r="AB65" i="33"/>
  <c r="C67" i="33"/>
  <c r="AB67" i="33" s="1"/>
  <c r="N71" i="33"/>
  <c r="C76" i="33"/>
  <c r="AB99" i="33"/>
  <c r="C50" i="33"/>
  <c r="C55" i="33"/>
  <c r="AD25" i="33"/>
  <c r="N25" i="33"/>
  <c r="C60" i="33"/>
  <c r="AB60" i="33" s="1"/>
  <c r="AD60" i="33"/>
  <c r="AB61" i="33"/>
  <c r="C91" i="33"/>
  <c r="U97" i="33"/>
  <c r="AD23" i="33"/>
  <c r="N23" i="33"/>
  <c r="AD54" i="33"/>
  <c r="C54" i="33"/>
  <c r="AB54" i="33" s="1"/>
  <c r="C68" i="33"/>
  <c r="AB68" i="33" s="1"/>
  <c r="AD68" i="33"/>
  <c r="AD66" i="33"/>
  <c r="N66" i="33"/>
  <c r="AD37" i="33"/>
  <c r="C56" i="33"/>
  <c r="AB57" i="33"/>
  <c r="AD35" i="33"/>
  <c r="N35" i="33"/>
  <c r="AB24" i="33"/>
  <c r="AD17" i="33"/>
  <c r="N17" i="33"/>
  <c r="AB22" i="33"/>
  <c r="AD27" i="33"/>
  <c r="N32" i="33"/>
  <c r="AD32" i="33"/>
  <c r="AD45" i="33"/>
  <c r="C72" i="33"/>
  <c r="R13" i="33"/>
  <c r="P82" i="33"/>
  <c r="AD110" i="33"/>
  <c r="AC97" i="33"/>
  <c r="N20" i="33"/>
  <c r="AD20" i="33"/>
  <c r="AB29" i="33"/>
  <c r="AD21" i="33"/>
  <c r="N21" i="33"/>
  <c r="N30" i="33"/>
  <c r="AC30" i="33"/>
  <c r="N47" i="33"/>
  <c r="N48" i="33"/>
  <c r="C66" i="33"/>
  <c r="C77" i="33"/>
  <c r="AB77" i="33" s="1"/>
  <c r="AD77" i="33"/>
  <c r="C92" i="33"/>
  <c r="AB102" i="33"/>
  <c r="N105" i="33"/>
  <c r="C109" i="33"/>
  <c r="C17" i="33"/>
  <c r="C28" i="33"/>
  <c r="C32" i="33"/>
  <c r="C35" i="33"/>
  <c r="N43" i="33"/>
  <c r="C74" i="33"/>
  <c r="N100" i="33"/>
  <c r="C15" i="33"/>
  <c r="AB15" i="33" s="1"/>
  <c r="AD36" i="33"/>
  <c r="AD39" i="33"/>
  <c r="C42" i="33"/>
  <c r="AB42" i="33" s="1"/>
  <c r="AD44" i="33"/>
  <c r="C49" i="33"/>
  <c r="C53" i="33"/>
  <c r="AB53" i="33" s="1"/>
  <c r="C59" i="33"/>
  <c r="AB59" i="33" s="1"/>
  <c r="C63" i="33"/>
  <c r="AB63" i="33" s="1"/>
  <c r="C71" i="33"/>
  <c r="C75" i="33"/>
  <c r="AB75" i="33" s="1"/>
  <c r="C85" i="33"/>
  <c r="C18" i="33"/>
  <c r="AB18" i="33" s="1"/>
  <c r="C36" i="33"/>
  <c r="AB36" i="33" s="1"/>
  <c r="C39" i="33"/>
  <c r="AB39" i="33" s="1"/>
  <c r="C44" i="33"/>
  <c r="AB44" i="33" s="1"/>
  <c r="C47" i="33"/>
  <c r="N52" i="33"/>
  <c r="N58" i="33"/>
  <c r="N62" i="33"/>
  <c r="C84" i="33"/>
  <c r="C93" i="33"/>
  <c r="C25" i="33"/>
  <c r="C34" i="33"/>
  <c r="AB34" i="33" s="1"/>
  <c r="C41" i="33"/>
  <c r="AB49" i="33" l="1"/>
  <c r="AB27" i="33"/>
  <c r="N97" i="33"/>
  <c r="K12" i="33"/>
  <c r="K11" i="33" s="1"/>
  <c r="AB69" i="33"/>
  <c r="AB50" i="33"/>
  <c r="AB26" i="33"/>
  <c r="E13" i="33"/>
  <c r="E12" i="33" s="1"/>
  <c r="E11" i="33" s="1"/>
  <c r="AB45" i="33"/>
  <c r="AB16" i="33"/>
  <c r="AB98" i="33"/>
  <c r="AB115" i="33"/>
  <c r="AB74" i="33"/>
  <c r="AB25" i="33"/>
  <c r="AB62" i="33"/>
  <c r="AB20" i="33"/>
  <c r="R12" i="33"/>
  <c r="R11" i="33" s="1"/>
  <c r="C97" i="33"/>
  <c r="AB97" i="33" s="1"/>
  <c r="D12" i="33"/>
  <c r="D11" i="33" s="1"/>
  <c r="AC11" i="33" s="1"/>
  <c r="AB30" i="33"/>
  <c r="AB17" i="33"/>
  <c r="AB35" i="33"/>
  <c r="AB55" i="33"/>
  <c r="AB52" i="33"/>
  <c r="AB43" i="33"/>
  <c r="AB105" i="33"/>
  <c r="AB14" i="33"/>
  <c r="AB58" i="33"/>
  <c r="AB21" i="33"/>
  <c r="U12" i="33"/>
  <c r="U11" i="33" s="1"/>
  <c r="C13" i="33"/>
  <c r="AB48" i="33"/>
  <c r="AB23" i="33"/>
  <c r="AB46" i="33"/>
  <c r="AB38" i="33"/>
  <c r="AB47" i="33"/>
  <c r="AB66" i="33"/>
  <c r="AB71" i="33"/>
  <c r="AB118" i="33"/>
  <c r="AD82" i="33"/>
  <c r="N82" i="33"/>
  <c r="AB100" i="33"/>
  <c r="AB32" i="33"/>
  <c r="P13" i="33"/>
  <c r="AB41" i="33"/>
  <c r="AB28" i="33"/>
  <c r="P12" i="33" l="1"/>
  <c r="P11" i="33" s="1"/>
  <c r="AD13" i="33"/>
  <c r="N13" i="33"/>
  <c r="C12" i="33"/>
  <c r="C11" i="33" s="1"/>
  <c r="AC12" i="33"/>
  <c r="AD12" i="33" l="1"/>
  <c r="AD11" i="33"/>
  <c r="AB13" i="33"/>
  <c r="N12" i="33"/>
  <c r="N11" i="33" s="1"/>
  <c r="AB12" i="33" l="1"/>
  <c r="AB11" i="33" l="1"/>
  <c r="AG122" i="18" l="1"/>
  <c r="AA122" i="18"/>
  <c r="AA11" i="18" s="1"/>
  <c r="U122" i="18"/>
  <c r="P122" i="18"/>
  <c r="K122" i="18"/>
  <c r="C122" i="18"/>
  <c r="AG121" i="18"/>
  <c r="X121" i="18"/>
  <c r="U121" i="18"/>
  <c r="P121" i="18"/>
  <c r="K121" i="18"/>
  <c r="C121" i="18"/>
  <c r="AG120" i="18"/>
  <c r="U120" i="18"/>
  <c r="P120" i="18"/>
  <c r="K120" i="18"/>
  <c r="C120" i="18" s="1"/>
  <c r="AG119" i="18"/>
  <c r="P119" i="18"/>
  <c r="N119" i="18" s="1"/>
  <c r="AH119" i="18" s="1"/>
  <c r="C119" i="18"/>
  <c r="AG118" i="18"/>
  <c r="X118" i="18"/>
  <c r="U118" i="18"/>
  <c r="P118" i="18"/>
  <c r="K118" i="18"/>
  <c r="C118" i="18" s="1"/>
  <c r="AG117" i="18"/>
  <c r="X117" i="18"/>
  <c r="U117" i="18"/>
  <c r="P117" i="18"/>
  <c r="K117" i="18"/>
  <c r="C117" i="18"/>
  <c r="AG116" i="18"/>
  <c r="X116" i="18"/>
  <c r="U116" i="18"/>
  <c r="P116" i="18"/>
  <c r="N116" i="18" s="1"/>
  <c r="K116" i="18"/>
  <c r="C116" i="18"/>
  <c r="AG115" i="18"/>
  <c r="X115" i="18"/>
  <c r="U115" i="18"/>
  <c r="T115" i="18"/>
  <c r="P115" i="18"/>
  <c r="K115" i="18"/>
  <c r="C115" i="18" s="1"/>
  <c r="AG114" i="18"/>
  <c r="X114" i="18"/>
  <c r="U114" i="18"/>
  <c r="S114" i="18"/>
  <c r="P114" i="18"/>
  <c r="K114" i="18"/>
  <c r="C114" i="18" s="1"/>
  <c r="AG113" i="18"/>
  <c r="P113" i="18"/>
  <c r="C113" i="18"/>
  <c r="AG112" i="18"/>
  <c r="P112" i="18"/>
  <c r="C112" i="18"/>
  <c r="AG111" i="18"/>
  <c r="P111" i="18"/>
  <c r="AD111" i="18" s="1"/>
  <c r="C111" i="18"/>
  <c r="P110" i="18"/>
  <c r="F110" i="18"/>
  <c r="E110" i="18"/>
  <c r="AG109" i="18"/>
  <c r="P109" i="18"/>
  <c r="AH109" i="18" s="1"/>
  <c r="K109" i="18"/>
  <c r="C109" i="18" s="1"/>
  <c r="AG108" i="18"/>
  <c r="AC108" i="18"/>
  <c r="X108" i="18"/>
  <c r="U108" i="18"/>
  <c r="P108" i="18"/>
  <c r="K108" i="18"/>
  <c r="C108" i="18" s="1"/>
  <c r="AG107" i="18"/>
  <c r="AC107" i="18"/>
  <c r="X107" i="18"/>
  <c r="U107" i="18"/>
  <c r="P107" i="18"/>
  <c r="K107" i="18"/>
  <c r="C107" i="18" s="1"/>
  <c r="AG106" i="18"/>
  <c r="AC106" i="18"/>
  <c r="X106" i="18"/>
  <c r="U106" i="18"/>
  <c r="P106" i="18"/>
  <c r="K106" i="18"/>
  <c r="C106" i="18" s="1"/>
  <c r="AG105" i="18"/>
  <c r="AC105" i="18"/>
  <c r="X105" i="18"/>
  <c r="U105" i="18"/>
  <c r="P105" i="18"/>
  <c r="K105" i="18"/>
  <c r="C105" i="18" s="1"/>
  <c r="AG104" i="18"/>
  <c r="AC104" i="18"/>
  <c r="X104" i="18"/>
  <c r="U104" i="18"/>
  <c r="P104" i="18"/>
  <c r="K104" i="18"/>
  <c r="C104" i="18" s="1"/>
  <c r="AG103" i="18"/>
  <c r="AC103" i="18"/>
  <c r="X103" i="18"/>
  <c r="U103" i="18"/>
  <c r="P103" i="18"/>
  <c r="K103" i="18"/>
  <c r="C103" i="18" s="1"/>
  <c r="AG102" i="18"/>
  <c r="AC102" i="18"/>
  <c r="X102" i="18"/>
  <c r="U102" i="18"/>
  <c r="P102" i="18"/>
  <c r="K102" i="18"/>
  <c r="C102" i="18" s="1"/>
  <c r="AG101" i="18"/>
  <c r="AC101" i="18"/>
  <c r="X101" i="18"/>
  <c r="U101" i="18"/>
  <c r="P101" i="18"/>
  <c r="K101" i="18"/>
  <c r="C101" i="18" s="1"/>
  <c r="AG100" i="18"/>
  <c r="AC100" i="18"/>
  <c r="X100" i="18"/>
  <c r="U100" i="18"/>
  <c r="P100" i="18"/>
  <c r="K100" i="18"/>
  <c r="C100" i="18" s="1"/>
  <c r="AG99" i="18"/>
  <c r="AC99" i="18"/>
  <c r="X99" i="18"/>
  <c r="U99" i="18"/>
  <c r="P99" i="18"/>
  <c r="K99" i="18"/>
  <c r="C99" i="18" s="1"/>
  <c r="Z98" i="18"/>
  <c r="Y98" i="18"/>
  <c r="V98" i="18"/>
  <c r="T98" i="18"/>
  <c r="S98" i="18"/>
  <c r="R98" i="18"/>
  <c r="Q98" i="18"/>
  <c r="O98" i="18"/>
  <c r="M98" i="18"/>
  <c r="L98" i="18"/>
  <c r="K98" i="18" s="1"/>
  <c r="J98" i="18"/>
  <c r="I98" i="18"/>
  <c r="E98" i="18"/>
  <c r="AG98" i="18" s="1"/>
  <c r="D98" i="18"/>
  <c r="P97" i="18"/>
  <c r="AH97" i="18" s="1"/>
  <c r="E97" i="18"/>
  <c r="P96" i="18"/>
  <c r="E96" i="18"/>
  <c r="AG96" i="18" s="1"/>
  <c r="P95" i="18"/>
  <c r="AH95" i="18" s="1"/>
  <c r="E95" i="18"/>
  <c r="AG95" i="18" s="1"/>
  <c r="P94" i="18"/>
  <c r="AH94" i="18" s="1"/>
  <c r="E94" i="18"/>
  <c r="C94" i="18" s="1"/>
  <c r="P93" i="18"/>
  <c r="AH93" i="18" s="1"/>
  <c r="E93" i="18"/>
  <c r="P92" i="18"/>
  <c r="E92" i="18"/>
  <c r="AG92" i="18" s="1"/>
  <c r="P91" i="18"/>
  <c r="N91" i="18"/>
  <c r="AH91" i="18" s="1"/>
  <c r="E91" i="18"/>
  <c r="AG91" i="18" s="1"/>
  <c r="C91" i="18"/>
  <c r="P90" i="18"/>
  <c r="E90" i="18"/>
  <c r="P89" i="18"/>
  <c r="N89" i="18"/>
  <c r="AH89" i="18" s="1"/>
  <c r="E89" i="18"/>
  <c r="AG89" i="18" s="1"/>
  <c r="C89" i="18"/>
  <c r="P88" i="18"/>
  <c r="E88" i="18"/>
  <c r="C88" i="18" s="1"/>
  <c r="P87" i="18"/>
  <c r="N87" i="18"/>
  <c r="AH87" i="18" s="1"/>
  <c r="E87" i="18"/>
  <c r="AG87" i="18" s="1"/>
  <c r="C87" i="18"/>
  <c r="P86" i="18"/>
  <c r="E86" i="18"/>
  <c r="P85" i="18"/>
  <c r="N85" i="18"/>
  <c r="AH85" i="18" s="1"/>
  <c r="E85" i="18"/>
  <c r="AG85" i="18" s="1"/>
  <c r="C85" i="18"/>
  <c r="P84" i="18"/>
  <c r="E84" i="18"/>
  <c r="C84" i="18" s="1"/>
  <c r="U83" i="18"/>
  <c r="R83" i="18"/>
  <c r="P83" i="18" s="1"/>
  <c r="E83" i="18"/>
  <c r="AG83" i="18" s="1"/>
  <c r="C83" i="18"/>
  <c r="U82" i="18"/>
  <c r="R82" i="18"/>
  <c r="P82" i="18" s="1"/>
  <c r="K82" i="18"/>
  <c r="E82" i="18"/>
  <c r="AG82" i="18" s="1"/>
  <c r="U81" i="18"/>
  <c r="P81" i="18"/>
  <c r="K81" i="18"/>
  <c r="E81" i="18"/>
  <c r="AG81" i="18" s="1"/>
  <c r="U80" i="18"/>
  <c r="R80" i="18"/>
  <c r="P80" i="18" s="1"/>
  <c r="K80" i="18"/>
  <c r="E80" i="18"/>
  <c r="U79" i="18"/>
  <c r="R79" i="18"/>
  <c r="P79" i="18"/>
  <c r="K79" i="18"/>
  <c r="E79" i="18"/>
  <c r="AG79" i="18" s="1"/>
  <c r="U78" i="18"/>
  <c r="P78" i="18"/>
  <c r="N78" i="18" s="1"/>
  <c r="AH78" i="18" s="1"/>
  <c r="K78" i="18"/>
  <c r="E78" i="18"/>
  <c r="AG78" i="18" s="1"/>
  <c r="U77" i="18"/>
  <c r="P77" i="18"/>
  <c r="K77" i="18"/>
  <c r="E77" i="18"/>
  <c r="AG77" i="18" s="1"/>
  <c r="U76" i="18"/>
  <c r="P76" i="18"/>
  <c r="K76" i="18"/>
  <c r="E76" i="18"/>
  <c r="AG76" i="18" s="1"/>
  <c r="U75" i="18"/>
  <c r="P75" i="18"/>
  <c r="K75" i="18"/>
  <c r="E75" i="18"/>
  <c r="AG75" i="18" s="1"/>
  <c r="C75" i="18"/>
  <c r="AC74" i="18"/>
  <c r="U74" i="18"/>
  <c r="P74" i="18"/>
  <c r="K74" i="18"/>
  <c r="E74" i="18"/>
  <c r="AG74" i="18" s="1"/>
  <c r="AC73" i="18"/>
  <c r="U73" i="18"/>
  <c r="P73" i="18"/>
  <c r="N73" i="18" s="1"/>
  <c r="K73" i="18"/>
  <c r="F73" i="18"/>
  <c r="E73" i="18" s="1"/>
  <c r="AG73" i="18" s="1"/>
  <c r="AC72" i="18"/>
  <c r="U72" i="18"/>
  <c r="P72" i="18"/>
  <c r="N72" i="18" s="1"/>
  <c r="K72" i="18"/>
  <c r="E72" i="18"/>
  <c r="AG72" i="18" s="1"/>
  <c r="AC71" i="18"/>
  <c r="U71" i="18"/>
  <c r="P71" i="18"/>
  <c r="K71" i="18"/>
  <c r="E71" i="18"/>
  <c r="AG71" i="18" s="1"/>
  <c r="AC70" i="18"/>
  <c r="U70" i="18"/>
  <c r="Q70" i="18"/>
  <c r="P70" i="18" s="1"/>
  <c r="K70" i="18"/>
  <c r="E70" i="18"/>
  <c r="AG70" i="18" s="1"/>
  <c r="AC69" i="18"/>
  <c r="U69" i="18"/>
  <c r="P69" i="18"/>
  <c r="K69" i="18"/>
  <c r="E69" i="18"/>
  <c r="AG69" i="18" s="1"/>
  <c r="AC68" i="18"/>
  <c r="U68" i="18"/>
  <c r="P68" i="18"/>
  <c r="N68" i="18" s="1"/>
  <c r="K68" i="18"/>
  <c r="E68" i="18"/>
  <c r="AG68" i="18" s="1"/>
  <c r="AC67" i="18"/>
  <c r="U67" i="18"/>
  <c r="P67" i="18"/>
  <c r="K67" i="18"/>
  <c r="E67" i="18"/>
  <c r="AG67" i="18" s="1"/>
  <c r="U66" i="18"/>
  <c r="P66" i="18"/>
  <c r="K66" i="18"/>
  <c r="F66" i="18"/>
  <c r="E66" i="18" s="1"/>
  <c r="AG66" i="18" s="1"/>
  <c r="U65" i="18"/>
  <c r="P65" i="18"/>
  <c r="K65" i="18"/>
  <c r="E65" i="18"/>
  <c r="AG65" i="18" s="1"/>
  <c r="U64" i="18"/>
  <c r="P64" i="18"/>
  <c r="K64" i="18"/>
  <c r="E64" i="18"/>
  <c r="AG64" i="18" s="1"/>
  <c r="U63" i="18"/>
  <c r="P63" i="18"/>
  <c r="K63" i="18"/>
  <c r="E63" i="18"/>
  <c r="AG63" i="18" s="1"/>
  <c r="U62" i="18"/>
  <c r="P62" i="18"/>
  <c r="K62" i="18"/>
  <c r="E62" i="18"/>
  <c r="AG62" i="18" s="1"/>
  <c r="U61" i="18"/>
  <c r="P61" i="18"/>
  <c r="K61" i="18"/>
  <c r="E61" i="18"/>
  <c r="AG61" i="18" s="1"/>
  <c r="U60" i="18"/>
  <c r="P60" i="18"/>
  <c r="K60" i="18"/>
  <c r="E60" i="18"/>
  <c r="U59" i="18"/>
  <c r="P59" i="18"/>
  <c r="K59" i="18"/>
  <c r="E59" i="18"/>
  <c r="AG59" i="18" s="1"/>
  <c r="U58" i="18"/>
  <c r="P58" i="18"/>
  <c r="K58" i="18"/>
  <c r="C58" i="18" s="1"/>
  <c r="E58" i="18"/>
  <c r="AG58" i="18" s="1"/>
  <c r="U57" i="18"/>
  <c r="P57" i="18"/>
  <c r="K57" i="18"/>
  <c r="E57" i="18"/>
  <c r="AG57" i="18" s="1"/>
  <c r="U56" i="18"/>
  <c r="P56" i="18"/>
  <c r="K56" i="18"/>
  <c r="E56" i="18"/>
  <c r="AG56" i="18" s="1"/>
  <c r="U55" i="18"/>
  <c r="Q55" i="18"/>
  <c r="P55" i="18" s="1"/>
  <c r="K55" i="18"/>
  <c r="H55" i="18"/>
  <c r="F55" i="18"/>
  <c r="F13" i="18" s="1"/>
  <c r="F12" i="18" s="1"/>
  <c r="F11" i="18" s="1"/>
  <c r="U54" i="18"/>
  <c r="Q54" i="18"/>
  <c r="P54" i="18" s="1"/>
  <c r="K54" i="18"/>
  <c r="C54" i="18" s="1"/>
  <c r="E54" i="18"/>
  <c r="AG54" i="18" s="1"/>
  <c r="U53" i="18"/>
  <c r="P53" i="18"/>
  <c r="N53" i="18" s="1"/>
  <c r="AH53" i="18" s="1"/>
  <c r="K53" i="18"/>
  <c r="E53" i="18"/>
  <c r="AG53" i="18" s="1"/>
  <c r="U52" i="18"/>
  <c r="P52" i="18"/>
  <c r="K52" i="18"/>
  <c r="E52" i="18"/>
  <c r="AG52" i="18" s="1"/>
  <c r="U51" i="18"/>
  <c r="P51" i="18"/>
  <c r="K51" i="18"/>
  <c r="E51" i="18"/>
  <c r="AG51" i="18" s="1"/>
  <c r="U50" i="18"/>
  <c r="P50" i="18"/>
  <c r="K50" i="18"/>
  <c r="E50" i="18"/>
  <c r="C50" i="18" s="1"/>
  <c r="U49" i="18"/>
  <c r="P49" i="18"/>
  <c r="K49" i="18"/>
  <c r="E49" i="18"/>
  <c r="AG49" i="18" s="1"/>
  <c r="U48" i="18"/>
  <c r="P48" i="18"/>
  <c r="K48" i="18"/>
  <c r="E48" i="18"/>
  <c r="U47" i="18"/>
  <c r="Q47" i="18"/>
  <c r="P47" i="18" s="1"/>
  <c r="N47" i="18" s="1"/>
  <c r="K47" i="18"/>
  <c r="E47" i="18"/>
  <c r="AG47" i="18" s="1"/>
  <c r="U46" i="18"/>
  <c r="Q46" i="18"/>
  <c r="P46" i="18" s="1"/>
  <c r="K46" i="18"/>
  <c r="E46" i="18"/>
  <c r="AG46" i="18" s="1"/>
  <c r="U45" i="18"/>
  <c r="Q45" i="18"/>
  <c r="P45" i="18" s="1"/>
  <c r="K45" i="18"/>
  <c r="E45" i="18"/>
  <c r="U44" i="18"/>
  <c r="N44" i="18" s="1"/>
  <c r="P44" i="18"/>
  <c r="K44" i="18"/>
  <c r="E44" i="18"/>
  <c r="AG44" i="18" s="1"/>
  <c r="AC43" i="18"/>
  <c r="U43" i="18"/>
  <c r="Q43" i="18"/>
  <c r="P43" i="18" s="1"/>
  <c r="K43" i="18"/>
  <c r="E43" i="18"/>
  <c r="AG43" i="18" s="1"/>
  <c r="AC42" i="18"/>
  <c r="U42" i="18"/>
  <c r="Q42" i="18"/>
  <c r="P42" i="18" s="1"/>
  <c r="N42" i="18" s="1"/>
  <c r="AH42" i="18" s="1"/>
  <c r="K42" i="18"/>
  <c r="E42" i="18"/>
  <c r="AG42" i="18" s="1"/>
  <c r="U41" i="18"/>
  <c r="Q41" i="18"/>
  <c r="P41" i="18"/>
  <c r="K41" i="18"/>
  <c r="E41" i="18"/>
  <c r="AG41" i="18" s="1"/>
  <c r="U40" i="18"/>
  <c r="P40" i="18"/>
  <c r="K40" i="18"/>
  <c r="E40" i="18"/>
  <c r="AG40" i="18" s="1"/>
  <c r="U39" i="18"/>
  <c r="P39" i="18"/>
  <c r="K39" i="18"/>
  <c r="E39" i="18"/>
  <c r="AG39" i="18" s="1"/>
  <c r="U38" i="18"/>
  <c r="Q38" i="18"/>
  <c r="P38" i="18" s="1"/>
  <c r="K38" i="18"/>
  <c r="E38" i="18"/>
  <c r="AG38" i="18" s="1"/>
  <c r="AC37" i="18"/>
  <c r="U37" i="18"/>
  <c r="Q37" i="18"/>
  <c r="P37" i="18" s="1"/>
  <c r="K37" i="18"/>
  <c r="E37" i="18"/>
  <c r="U36" i="18"/>
  <c r="P36" i="18"/>
  <c r="N36" i="18"/>
  <c r="K36" i="18"/>
  <c r="E36" i="18"/>
  <c r="AG36" i="18" s="1"/>
  <c r="AC35" i="18"/>
  <c r="P35" i="18"/>
  <c r="N35" i="18" s="1"/>
  <c r="AH35" i="18" s="1"/>
  <c r="K35" i="18"/>
  <c r="E35" i="18"/>
  <c r="AG35" i="18" s="1"/>
  <c r="U34" i="18"/>
  <c r="N34" i="18" s="1"/>
  <c r="P34" i="18"/>
  <c r="K34" i="18"/>
  <c r="E34" i="18"/>
  <c r="AG34" i="18" s="1"/>
  <c r="U33" i="18"/>
  <c r="Q33" i="18"/>
  <c r="P33" i="18" s="1"/>
  <c r="K33" i="18"/>
  <c r="E33" i="18"/>
  <c r="AG33" i="18" s="1"/>
  <c r="U32" i="18"/>
  <c r="Q32" i="18"/>
  <c r="P32" i="18" s="1"/>
  <c r="K32" i="18"/>
  <c r="E32" i="18"/>
  <c r="AG32" i="18" s="1"/>
  <c r="U31" i="18"/>
  <c r="Q31" i="18"/>
  <c r="P31" i="18" s="1"/>
  <c r="N31" i="18" s="1"/>
  <c r="K31" i="18"/>
  <c r="E31" i="18"/>
  <c r="AG31" i="18" s="1"/>
  <c r="AC30" i="18"/>
  <c r="U30" i="18"/>
  <c r="Q30" i="18"/>
  <c r="P30" i="18" s="1"/>
  <c r="K30" i="18"/>
  <c r="E30" i="18"/>
  <c r="AG30" i="18" s="1"/>
  <c r="AC29" i="18"/>
  <c r="U29" i="18"/>
  <c r="Q29" i="18"/>
  <c r="P29" i="18" s="1"/>
  <c r="N29" i="18" s="1"/>
  <c r="K29" i="18"/>
  <c r="E29" i="18"/>
  <c r="AG29" i="18" s="1"/>
  <c r="AC28" i="18"/>
  <c r="U28" i="18"/>
  <c r="Q28" i="18"/>
  <c r="P28" i="18" s="1"/>
  <c r="K28" i="18"/>
  <c r="E28" i="18"/>
  <c r="AG28" i="18" s="1"/>
  <c r="U27" i="18"/>
  <c r="Q27" i="18"/>
  <c r="P27" i="18" s="1"/>
  <c r="K27" i="18"/>
  <c r="E27" i="18"/>
  <c r="AG27" i="18" s="1"/>
  <c r="AC26" i="18"/>
  <c r="U26" i="18"/>
  <c r="R26" i="18"/>
  <c r="P26" i="18" s="1"/>
  <c r="K26" i="18"/>
  <c r="E26" i="18"/>
  <c r="AG26" i="18" s="1"/>
  <c r="AC25" i="18"/>
  <c r="U25" i="18"/>
  <c r="Q25" i="18"/>
  <c r="P25" i="18" s="1"/>
  <c r="K25" i="18"/>
  <c r="E25" i="18"/>
  <c r="AG25" i="18" s="1"/>
  <c r="AC24" i="18"/>
  <c r="W24" i="18"/>
  <c r="U24" i="18"/>
  <c r="Q24" i="18"/>
  <c r="P24" i="18"/>
  <c r="K24" i="18"/>
  <c r="E24" i="18"/>
  <c r="AG24" i="18" s="1"/>
  <c r="W23" i="18"/>
  <c r="U23" i="18" s="1"/>
  <c r="Q23" i="18"/>
  <c r="P23" i="18" s="1"/>
  <c r="K23" i="18"/>
  <c r="E23" i="18"/>
  <c r="AG23" i="18" s="1"/>
  <c r="AC22" i="18"/>
  <c r="W22" i="18"/>
  <c r="U22" i="18" s="1"/>
  <c r="Q22" i="18"/>
  <c r="K22" i="18"/>
  <c r="E22" i="18"/>
  <c r="AG22" i="18" s="1"/>
  <c r="AC21" i="18"/>
  <c r="U21" i="18"/>
  <c r="Q21" i="18"/>
  <c r="P21" i="18" s="1"/>
  <c r="K21" i="18"/>
  <c r="E21" i="18"/>
  <c r="AC20" i="18"/>
  <c r="W20" i="18"/>
  <c r="U20" i="18"/>
  <c r="Q20" i="18"/>
  <c r="P20" i="18" s="1"/>
  <c r="K20" i="18"/>
  <c r="E20" i="18"/>
  <c r="AG20" i="18" s="1"/>
  <c r="AC19" i="18"/>
  <c r="U19" i="18"/>
  <c r="Q19" i="18"/>
  <c r="P19" i="18" s="1"/>
  <c r="K19" i="18"/>
  <c r="E19" i="18"/>
  <c r="AG19" i="18" s="1"/>
  <c r="AC18" i="18"/>
  <c r="U18" i="18"/>
  <c r="P18" i="18"/>
  <c r="K18" i="18"/>
  <c r="E18" i="18"/>
  <c r="AG18" i="18" s="1"/>
  <c r="AC17" i="18"/>
  <c r="U17" i="18"/>
  <c r="P17" i="18"/>
  <c r="K17" i="18"/>
  <c r="E17" i="18"/>
  <c r="AG17" i="18" s="1"/>
  <c r="U16" i="18"/>
  <c r="Q16" i="18"/>
  <c r="P16" i="18" s="1"/>
  <c r="K16" i="18"/>
  <c r="H16" i="18"/>
  <c r="E16" i="18" s="1"/>
  <c r="AC15" i="18"/>
  <c r="U15" i="18"/>
  <c r="P15" i="18"/>
  <c r="K15" i="18"/>
  <c r="E15" i="18"/>
  <c r="AG15" i="18" s="1"/>
  <c r="AC14" i="18"/>
  <c r="W14" i="18"/>
  <c r="U14" i="18" s="1"/>
  <c r="Q14" i="18"/>
  <c r="P14" i="18" s="1"/>
  <c r="K14" i="18"/>
  <c r="E14" i="18"/>
  <c r="AG14" i="18" s="1"/>
  <c r="AA13" i="18"/>
  <c r="Z13" i="18"/>
  <c r="Y13" i="18"/>
  <c r="Y12" i="18" s="1"/>
  <c r="Y11" i="18" s="1"/>
  <c r="X13" i="18"/>
  <c r="V13" i="18"/>
  <c r="V12" i="18" s="1"/>
  <c r="V11" i="18" s="1"/>
  <c r="T13" i="18"/>
  <c r="S13" i="18"/>
  <c r="S12" i="18" s="1"/>
  <c r="O13" i="18"/>
  <c r="O12" i="18" s="1"/>
  <c r="M13" i="18"/>
  <c r="M12" i="18" s="1"/>
  <c r="M11" i="18" s="1"/>
  <c r="L13" i="18"/>
  <c r="L12" i="18" s="1"/>
  <c r="L11" i="18" s="1"/>
  <c r="J13" i="18"/>
  <c r="J12" i="18" s="1"/>
  <c r="J11" i="18" s="1"/>
  <c r="I13" i="18"/>
  <c r="I12" i="18" s="1"/>
  <c r="I11" i="18" s="1"/>
  <c r="G13" i="18"/>
  <c r="G12" i="18" s="1"/>
  <c r="G11" i="18" s="1"/>
  <c r="D13" i="18"/>
  <c r="D12" i="18" s="1"/>
  <c r="D11" i="18" s="1"/>
  <c r="T12" i="18"/>
  <c r="C5" i="18"/>
  <c r="R13" i="18" l="1"/>
  <c r="R12" i="18" s="1"/>
  <c r="R11" i="18" s="1"/>
  <c r="C14" i="18"/>
  <c r="N21" i="18"/>
  <c r="C60" i="18"/>
  <c r="C64" i="18"/>
  <c r="C69" i="18"/>
  <c r="N70" i="18"/>
  <c r="N76" i="18"/>
  <c r="AH76" i="18" s="1"/>
  <c r="N77" i="18"/>
  <c r="AH77" i="18" s="1"/>
  <c r="C80" i="18"/>
  <c r="N101" i="18"/>
  <c r="N103" i="18"/>
  <c r="N120" i="18"/>
  <c r="AB120" i="18" s="1"/>
  <c r="N37" i="18"/>
  <c r="C56" i="18"/>
  <c r="N59" i="18"/>
  <c r="AH59" i="18" s="1"/>
  <c r="N63" i="18"/>
  <c r="AH63" i="18" s="1"/>
  <c r="N74" i="18"/>
  <c r="AH74" i="18" s="1"/>
  <c r="C78" i="18"/>
  <c r="N102" i="18"/>
  <c r="N104" i="18"/>
  <c r="AH104" i="18" s="1"/>
  <c r="N106" i="18"/>
  <c r="N108" i="18"/>
  <c r="AH108" i="18" s="1"/>
  <c r="AG110" i="18"/>
  <c r="N15" i="18"/>
  <c r="AH15" i="18" s="1"/>
  <c r="AD16" i="18"/>
  <c r="C17" i="18"/>
  <c r="N17" i="18"/>
  <c r="AD17" i="18"/>
  <c r="AD19" i="18"/>
  <c r="W13" i="18"/>
  <c r="W12" i="18" s="1"/>
  <c r="W11" i="18" s="1"/>
  <c r="C23" i="18"/>
  <c r="U13" i="18"/>
  <c r="N26" i="18"/>
  <c r="AH26" i="18" s="1"/>
  <c r="C28" i="18"/>
  <c r="C29" i="18"/>
  <c r="C30" i="18"/>
  <c r="C31" i="18"/>
  <c r="AD33" i="18"/>
  <c r="AD34" i="18"/>
  <c r="AD36" i="18"/>
  <c r="C40" i="18"/>
  <c r="AD40" i="18"/>
  <c r="AD41" i="18"/>
  <c r="AD44" i="18"/>
  <c r="C45" i="18"/>
  <c r="AG45" i="18"/>
  <c r="AD47" i="18"/>
  <c r="C48" i="18"/>
  <c r="AG48" i="18"/>
  <c r="C52" i="18"/>
  <c r="AD52" i="18"/>
  <c r="C57" i="18"/>
  <c r="AD57" i="18"/>
  <c r="C62" i="18"/>
  <c r="AD62" i="18"/>
  <c r="C65" i="18"/>
  <c r="AD65" i="18"/>
  <c r="N66" i="18"/>
  <c r="N67" i="18"/>
  <c r="N71" i="18"/>
  <c r="AH71" i="18" s="1"/>
  <c r="AD71" i="18"/>
  <c r="C74" i="18"/>
  <c r="AD75" i="18"/>
  <c r="C76" i="18"/>
  <c r="AD82" i="18"/>
  <c r="AD89" i="18"/>
  <c r="C90" i="18"/>
  <c r="AG90" i="18"/>
  <c r="AD90" i="18"/>
  <c r="AD91" i="18"/>
  <c r="AD92" i="18"/>
  <c r="AH92" i="18"/>
  <c r="AH96" i="18"/>
  <c r="AD96" i="18"/>
  <c r="U98" i="18"/>
  <c r="AD110" i="18"/>
  <c r="AH110" i="18"/>
  <c r="AD112" i="18"/>
  <c r="AH112" i="18"/>
  <c r="U12" i="18"/>
  <c r="U11" i="18" s="1"/>
  <c r="C63" i="18"/>
  <c r="AB63" i="18" s="1"/>
  <c r="C77" i="18"/>
  <c r="C46" i="18"/>
  <c r="C49" i="18"/>
  <c r="N117" i="18"/>
  <c r="AB117" i="18" s="1"/>
  <c r="N23" i="18"/>
  <c r="C53" i="18"/>
  <c r="C33" i="18"/>
  <c r="C39" i="18"/>
  <c r="AD15" i="18"/>
  <c r="AD39" i="18"/>
  <c r="N49" i="18"/>
  <c r="E55" i="18"/>
  <c r="AG55" i="18" s="1"/>
  <c r="C59" i="18"/>
  <c r="AB59" i="18" s="1"/>
  <c r="N69" i="18"/>
  <c r="C79" i="18"/>
  <c r="N80" i="18"/>
  <c r="AH80" i="18" s="1"/>
  <c r="C82" i="18"/>
  <c r="N107" i="18"/>
  <c r="C110" i="18"/>
  <c r="J5" i="18"/>
  <c r="G5" i="18"/>
  <c r="I5" i="18" s="1"/>
  <c r="AD85" i="18"/>
  <c r="C41" i="18"/>
  <c r="AD42" i="18"/>
  <c r="C71" i="18"/>
  <c r="AG60" i="18"/>
  <c r="AD48" i="18"/>
  <c r="C51" i="18"/>
  <c r="C61" i="18"/>
  <c r="AD69" i="18"/>
  <c r="N79" i="18"/>
  <c r="AH79" i="18" s="1"/>
  <c r="C81" i="18"/>
  <c r="AD84" i="18"/>
  <c r="AD94" i="18"/>
  <c r="X98" i="18"/>
  <c r="X12" i="18" s="1"/>
  <c r="T11" i="18"/>
  <c r="AG13" i="18" s="1"/>
  <c r="AD31" i="18"/>
  <c r="AG50" i="18"/>
  <c r="C20" i="18"/>
  <c r="N41" i="18"/>
  <c r="H13" i="18"/>
  <c r="H12" i="18" s="1"/>
  <c r="H11" i="18" s="1"/>
  <c r="AC13" i="18"/>
  <c r="C24" i="18"/>
  <c r="AD26" i="18"/>
  <c r="AD51" i="18"/>
  <c r="AD58" i="18"/>
  <c r="AD61" i="18"/>
  <c r="N81" i="18"/>
  <c r="AH81" i="18" s="1"/>
  <c r="AG84" i="18"/>
  <c r="Z12" i="18"/>
  <c r="Z11" i="18" s="1"/>
  <c r="N100" i="18"/>
  <c r="AH100" i="18" s="1"/>
  <c r="N105" i="18"/>
  <c r="AB105" i="18" s="1"/>
  <c r="N118" i="18"/>
  <c r="N115" i="18"/>
  <c r="AH115" i="18" s="1"/>
  <c r="N121" i="18"/>
  <c r="AH121" i="18" s="1"/>
  <c r="N122" i="18"/>
  <c r="AH122" i="18" s="1"/>
  <c r="X11" i="18"/>
  <c r="C21" i="18"/>
  <c r="AG21" i="18"/>
  <c r="N46" i="18"/>
  <c r="AH103" i="18"/>
  <c r="AB103" i="18"/>
  <c r="AH113" i="18"/>
  <c r="AD113" i="18"/>
  <c r="AB31" i="18"/>
  <c r="AH31" i="18"/>
  <c r="P22" i="18"/>
  <c r="P13" i="18" s="1"/>
  <c r="Q13" i="18"/>
  <c r="Q12" i="18" s="1"/>
  <c r="Q11" i="18" s="1"/>
  <c r="N32" i="18"/>
  <c r="AD32" i="18"/>
  <c r="AD37" i="18"/>
  <c r="AG16" i="18"/>
  <c r="C16" i="18"/>
  <c r="AB17" i="18"/>
  <c r="AH17" i="18"/>
  <c r="AB53" i="18"/>
  <c r="C55" i="18"/>
  <c r="N64" i="18"/>
  <c r="AD64" i="18"/>
  <c r="C66" i="18"/>
  <c r="AB66" i="18" s="1"/>
  <c r="AH107" i="18"/>
  <c r="AB107" i="18"/>
  <c r="AH120" i="18"/>
  <c r="AB29" i="18"/>
  <c r="AH29" i="18"/>
  <c r="AH102" i="18"/>
  <c r="AB102" i="18"/>
  <c r="N16" i="18"/>
  <c r="C19" i="18"/>
  <c r="K13" i="18"/>
  <c r="K12" i="18" s="1"/>
  <c r="K11" i="18" s="1"/>
  <c r="N20" i="18"/>
  <c r="AD20" i="18"/>
  <c r="C37" i="18"/>
  <c r="AB37" i="18" s="1"/>
  <c r="AG37" i="18"/>
  <c r="N38" i="18"/>
  <c r="AD38" i="18"/>
  <c r="AD45" i="18"/>
  <c r="N45" i="18"/>
  <c r="N56" i="18"/>
  <c r="AD56" i="18"/>
  <c r="AH67" i="18"/>
  <c r="N88" i="18"/>
  <c r="AH88" i="18" s="1"/>
  <c r="AD88" i="18"/>
  <c r="AH106" i="18"/>
  <c r="AB106" i="18"/>
  <c r="AB115" i="18"/>
  <c r="AB116" i="18"/>
  <c r="AH117" i="18"/>
  <c r="N27" i="18"/>
  <c r="AD27" i="18"/>
  <c r="AH70" i="18"/>
  <c r="AB74" i="18"/>
  <c r="C86" i="18"/>
  <c r="AG86" i="18"/>
  <c r="C97" i="18"/>
  <c r="AG97" i="18"/>
  <c r="AB101" i="18"/>
  <c r="AH101" i="18"/>
  <c r="AD21" i="18"/>
  <c r="AH37" i="18"/>
  <c r="AH44" i="18"/>
  <c r="AH47" i="18"/>
  <c r="N55" i="18"/>
  <c r="AD55" i="18"/>
  <c r="AD86" i="18"/>
  <c r="AD97" i="18"/>
  <c r="AB100" i="18"/>
  <c r="N114" i="18"/>
  <c r="S11" i="18"/>
  <c r="N30" i="18"/>
  <c r="AD30" i="18"/>
  <c r="AH41" i="18"/>
  <c r="AB41" i="18"/>
  <c r="AC12" i="18"/>
  <c r="O11" i="18"/>
  <c r="N54" i="18"/>
  <c r="AD54" i="18"/>
  <c r="AB104" i="18"/>
  <c r="AB21" i="18"/>
  <c r="AH21" i="18"/>
  <c r="N28" i="18"/>
  <c r="AD28" i="18"/>
  <c r="N60" i="18"/>
  <c r="AD60" i="18"/>
  <c r="N14" i="18"/>
  <c r="AD14" i="18"/>
  <c r="N18" i="18"/>
  <c r="N24" i="18"/>
  <c r="AD24" i="18"/>
  <c r="N25" i="18"/>
  <c r="AD25" i="18"/>
  <c r="AH36" i="18"/>
  <c r="N43" i="18"/>
  <c r="AD43" i="18"/>
  <c r="N50" i="18"/>
  <c r="AD50" i="18"/>
  <c r="AD66" i="18"/>
  <c r="AH68" i="18"/>
  <c r="AH73" i="18"/>
  <c r="AB77" i="18"/>
  <c r="AD83" i="18"/>
  <c r="N83" i="18"/>
  <c r="AH83" i="18" s="1"/>
  <c r="C93" i="18"/>
  <c r="AG93" i="18"/>
  <c r="AD93" i="18"/>
  <c r="C98" i="18"/>
  <c r="N99" i="18"/>
  <c r="P98" i="18"/>
  <c r="N98" i="18" s="1"/>
  <c r="AB108" i="18"/>
  <c r="AH116" i="18"/>
  <c r="C15" i="18"/>
  <c r="N19" i="18"/>
  <c r="AD23" i="18"/>
  <c r="C25" i="18"/>
  <c r="C27" i="18"/>
  <c r="AD29" i="18"/>
  <c r="N33" i="18"/>
  <c r="C34" i="18"/>
  <c r="AB34" i="18" s="1"/>
  <c r="N39" i="18"/>
  <c r="C43" i="18"/>
  <c r="AD49" i="18"/>
  <c r="N51" i="18"/>
  <c r="AD53" i="18"/>
  <c r="N57" i="18"/>
  <c r="AD59" i="18"/>
  <c r="N61" i="18"/>
  <c r="AD63" i="18"/>
  <c r="N65" i="18"/>
  <c r="C72" i="18"/>
  <c r="AB72" i="18" s="1"/>
  <c r="AD77" i="18"/>
  <c r="N82" i="18"/>
  <c r="AH82" i="18" s="1"/>
  <c r="N86" i="18"/>
  <c r="AH86" i="18" s="1"/>
  <c r="C92" i="18"/>
  <c r="AG94" i="18"/>
  <c r="C96" i="18"/>
  <c r="AH111" i="18"/>
  <c r="AH34" i="18"/>
  <c r="AD35" i="18"/>
  <c r="AD46" i="18"/>
  <c r="AH66" i="18"/>
  <c r="AH72" i="18"/>
  <c r="AD87" i="18"/>
  <c r="AG88" i="18"/>
  <c r="AC98" i="18"/>
  <c r="C18" i="18"/>
  <c r="AD18" i="18"/>
  <c r="C22" i="18"/>
  <c r="C32" i="18"/>
  <c r="C35" i="18"/>
  <c r="AB35" i="18" s="1"/>
  <c r="C38" i="18"/>
  <c r="N40" i="18"/>
  <c r="N48" i="18"/>
  <c r="N52" i="18"/>
  <c r="N58" i="18"/>
  <c r="N62" i="18"/>
  <c r="C67" i="18"/>
  <c r="AB67" i="18" s="1"/>
  <c r="C70" i="18"/>
  <c r="AB70" i="18" s="1"/>
  <c r="C73" i="18"/>
  <c r="AB73" i="18" s="1"/>
  <c r="N75" i="18"/>
  <c r="N84" i="18"/>
  <c r="AH84" i="18" s="1"/>
  <c r="C95" i="18"/>
  <c r="AG80" i="18"/>
  <c r="C26" i="18"/>
  <c r="AB26" i="18" s="1"/>
  <c r="C36" i="18"/>
  <c r="AB36" i="18" s="1"/>
  <c r="C42" i="18"/>
  <c r="AB42" i="18" s="1"/>
  <c r="C44" i="18"/>
  <c r="AB44" i="18" s="1"/>
  <c r="C47" i="18"/>
  <c r="AB47" i="18" s="1"/>
  <c r="C68" i="18"/>
  <c r="AB68" i="18" s="1"/>
  <c r="AD68" i="18"/>
  <c r="N90" i="18"/>
  <c r="AH90" i="18" s="1"/>
  <c r="AD95" i="18"/>
  <c r="E13" i="18" l="1"/>
  <c r="E12" i="18" s="1"/>
  <c r="E11" i="18" s="1"/>
  <c r="C11" i="18" s="1"/>
  <c r="D5" i="18" s="1"/>
  <c r="AB71" i="18"/>
  <c r="AB69" i="18"/>
  <c r="AH23" i="18"/>
  <c r="AB23" i="18"/>
  <c r="C13" i="18"/>
  <c r="AH105" i="18"/>
  <c r="AH49" i="18"/>
  <c r="AB49" i="18"/>
  <c r="AH118" i="18"/>
  <c r="AB118" i="18"/>
  <c r="AH69" i="18"/>
  <c r="AH98" i="18"/>
  <c r="AB98" i="18"/>
  <c r="AH39" i="18"/>
  <c r="AB39" i="18"/>
  <c r="AH25" i="18"/>
  <c r="AB25" i="18"/>
  <c r="AH60" i="18"/>
  <c r="AB60" i="18"/>
  <c r="AH30" i="18"/>
  <c r="AB30" i="18"/>
  <c r="AB45" i="18"/>
  <c r="AH45" i="18"/>
  <c r="AH32" i="18"/>
  <c r="AB32" i="18"/>
  <c r="AB40" i="18"/>
  <c r="AH40" i="18"/>
  <c r="AH61" i="18"/>
  <c r="AB61" i="18"/>
  <c r="AH54" i="18"/>
  <c r="AB54" i="18"/>
  <c r="AB19" i="18"/>
  <c r="AH19" i="18"/>
  <c r="AB33" i="18"/>
  <c r="AH33" i="18"/>
  <c r="AH50" i="18"/>
  <c r="AB50" i="18"/>
  <c r="AB24" i="18"/>
  <c r="AH24" i="18"/>
  <c r="AH28" i="18"/>
  <c r="AB28" i="18"/>
  <c r="AC11" i="18"/>
  <c r="AG10" i="18"/>
  <c r="AH114" i="18"/>
  <c r="AB114" i="18"/>
  <c r="AH55" i="18"/>
  <c r="AB55" i="18"/>
  <c r="AH27" i="18"/>
  <c r="AB27" i="18"/>
  <c r="AH16" i="18"/>
  <c r="AB16" i="18"/>
  <c r="N22" i="18"/>
  <c r="N13" i="18" s="1"/>
  <c r="AD22" i="18"/>
  <c r="AH65" i="18"/>
  <c r="AB65" i="18"/>
  <c r="AH20" i="18"/>
  <c r="AB20" i="18"/>
  <c r="AH57" i="18"/>
  <c r="AB57" i="18"/>
  <c r="AH18" i="18"/>
  <c r="AB18" i="18"/>
  <c r="AB15" i="18"/>
  <c r="AH38" i="18"/>
  <c r="AB38" i="18"/>
  <c r="AH46" i="18"/>
  <c r="AB46" i="18"/>
  <c r="AH99" i="18"/>
  <c r="AB99" i="18"/>
  <c r="AH43" i="18"/>
  <c r="AB43" i="18"/>
  <c r="P12" i="18"/>
  <c r="AD13" i="18"/>
  <c r="AB75" i="18"/>
  <c r="AH75" i="18"/>
  <c r="AH56" i="18"/>
  <c r="AB56" i="18"/>
  <c r="AB62" i="18"/>
  <c r="AH62" i="18"/>
  <c r="AB58" i="18"/>
  <c r="AH58" i="18"/>
  <c r="AB52" i="18"/>
  <c r="AH52" i="18"/>
  <c r="AH51" i="18"/>
  <c r="AB51" i="18"/>
  <c r="AB48" i="18"/>
  <c r="AH48" i="18"/>
  <c r="AB14" i="18"/>
  <c r="AH14" i="18"/>
  <c r="AH64" i="18"/>
  <c r="AB64" i="18"/>
  <c r="C12" i="18" l="1"/>
  <c r="AB13" i="18"/>
  <c r="N12" i="18"/>
  <c r="AH13" i="18"/>
  <c r="AD12" i="18"/>
  <c r="P11" i="18"/>
  <c r="AD11" i="18" s="1"/>
  <c r="AH22" i="18"/>
  <c r="AB22" i="18"/>
  <c r="AH12" i="18" l="1"/>
  <c r="AB12" i="18"/>
  <c r="N11" i="18"/>
  <c r="AB11" i="18" l="1"/>
  <c r="N6" i="18"/>
  <c r="AH11" i="18"/>
  <c r="F19" i="24" l="1"/>
  <c r="H39" i="24"/>
  <c r="G49" i="24"/>
  <c r="F49" i="24" s="1"/>
  <c r="C49" i="24"/>
  <c r="G48" i="24"/>
  <c r="F48" i="24"/>
  <c r="C48" i="24"/>
  <c r="G47" i="24"/>
  <c r="F47" i="24" s="1"/>
  <c r="C47" i="24"/>
  <c r="G46" i="24"/>
  <c r="F46" i="24" s="1"/>
  <c r="C46" i="24"/>
  <c r="E45" i="24"/>
  <c r="D45" i="24"/>
  <c r="F44" i="24"/>
  <c r="C44" i="24"/>
  <c r="G43" i="24"/>
  <c r="F43" i="24" s="1"/>
  <c r="C43" i="24"/>
  <c r="F42" i="24"/>
  <c r="C42" i="24"/>
  <c r="F41" i="24"/>
  <c r="C41" i="24"/>
  <c r="E40" i="24"/>
  <c r="D40" i="24"/>
  <c r="G20" i="24"/>
  <c r="G11" i="24" s="1"/>
  <c r="G40" i="24" l="1"/>
  <c r="D39" i="24"/>
  <c r="E39" i="24"/>
  <c r="C40" i="24"/>
  <c r="C45" i="24"/>
  <c r="F40" i="24"/>
  <c r="G45" i="24"/>
  <c r="G39" i="24" s="1"/>
  <c r="F45" i="24"/>
  <c r="C39" i="24" l="1"/>
  <c r="E48" i="6"/>
  <c r="D48" i="6"/>
  <c r="E47" i="6"/>
  <c r="D47" i="6"/>
  <c r="E46" i="6"/>
  <c r="D46" i="6"/>
  <c r="E45" i="6"/>
  <c r="D45" i="6"/>
  <c r="E43" i="6"/>
  <c r="D43" i="6"/>
  <c r="E42" i="6"/>
  <c r="D42" i="6"/>
  <c r="E41" i="6"/>
  <c r="D41" i="6"/>
  <c r="E40" i="6"/>
  <c r="D40" i="6"/>
  <c r="D39" i="6" s="1"/>
  <c r="E39" i="6" l="1"/>
  <c r="E38" i="6" s="1"/>
  <c r="E44" i="6"/>
  <c r="D44" i="6"/>
  <c r="D38" i="6" s="1"/>
  <c r="E86" i="27"/>
  <c r="E44" i="27"/>
  <c r="E45" i="27"/>
  <c r="C99" i="27" l="1"/>
  <c r="C95" i="27"/>
  <c r="C91" i="27"/>
  <c r="C89" i="27"/>
  <c r="D75" i="27"/>
  <c r="C75" i="27"/>
  <c r="C72" i="27"/>
  <c r="C66" i="27"/>
  <c r="C65" i="27" s="1"/>
  <c r="C47" i="27"/>
  <c r="C13" i="27"/>
  <c r="C12" i="27" s="1"/>
  <c r="C11" i="27" s="1"/>
  <c r="E71" i="27"/>
  <c r="D72" i="27"/>
  <c r="D47" i="27"/>
  <c r="E47" i="27" s="1"/>
  <c r="E48" i="27"/>
  <c r="E50" i="27"/>
  <c r="E51" i="27"/>
  <c r="E52" i="27"/>
  <c r="E53" i="27"/>
  <c r="E55" i="27"/>
  <c r="E56" i="27"/>
  <c r="E57" i="27"/>
  <c r="E58" i="27"/>
  <c r="E59" i="27"/>
  <c r="E60" i="27"/>
  <c r="E61" i="27"/>
  <c r="E62" i="27"/>
  <c r="E63" i="27"/>
  <c r="E64" i="27"/>
  <c r="E83" i="27"/>
  <c r="E82" i="27"/>
  <c r="E81" i="27"/>
  <c r="E80" i="27"/>
  <c r="E79" i="27"/>
  <c r="E78" i="27"/>
  <c r="E77" i="27"/>
  <c r="D13" i="27"/>
  <c r="D12" i="27" s="1"/>
  <c r="E14" i="27"/>
  <c r="E15" i="27"/>
  <c r="E16" i="27"/>
  <c r="E17" i="27"/>
  <c r="E18" i="27"/>
  <c r="E19" i="27"/>
  <c r="E20" i="27"/>
  <c r="E21" i="27"/>
  <c r="E22" i="27"/>
  <c r="E23" i="27"/>
  <c r="E24" i="27"/>
  <c r="E25" i="27"/>
  <c r="E26" i="27"/>
  <c r="E27" i="27"/>
  <c r="E28" i="27"/>
  <c r="E29" i="27"/>
  <c r="E30" i="27"/>
  <c r="E32" i="27"/>
  <c r="E33" i="27"/>
  <c r="E34" i="27"/>
  <c r="E35" i="27"/>
  <c r="E36" i="27"/>
  <c r="E37" i="27"/>
  <c r="E38" i="27"/>
  <c r="E39" i="27"/>
  <c r="E40" i="27"/>
  <c r="E41" i="27"/>
  <c r="E42" i="27"/>
  <c r="E43" i="27"/>
  <c r="E31" i="27"/>
  <c r="D66" i="27"/>
  <c r="E68" i="27"/>
  <c r="E69" i="27"/>
  <c r="E88" i="27"/>
  <c r="E90" i="27"/>
  <c r="E92" i="27"/>
  <c r="E94" i="27"/>
  <c r="E96" i="27"/>
  <c r="E97" i="27"/>
  <c r="E98" i="27"/>
  <c r="E87" i="27"/>
  <c r="E46" i="27"/>
  <c r="E142" i="27"/>
  <c r="D141" i="27"/>
  <c r="D140" i="27" s="1"/>
  <c r="C141" i="27"/>
  <c r="C140" i="27" s="1"/>
  <c r="C139" i="27" s="1"/>
  <c r="C74" i="27" l="1"/>
  <c r="C10" i="27" s="1"/>
  <c r="E12" i="27"/>
  <c r="E75" i="27"/>
  <c r="E13" i="27"/>
  <c r="E66" i="27"/>
  <c r="E141" i="27"/>
  <c r="E140" i="27"/>
  <c r="E139" i="27" s="1"/>
  <c r="D139" i="27"/>
  <c r="D143" i="27" l="1"/>
  <c r="C143" i="27"/>
  <c r="E144" i="27"/>
  <c r="E143" i="27" l="1"/>
  <c r="F25" i="24"/>
  <c r="G24" i="24"/>
  <c r="F24" i="24"/>
  <c r="D13" i="7"/>
  <c r="G31" i="24"/>
  <c r="G30" i="24"/>
  <c r="G29" i="24"/>
  <c r="H24" i="24" l="1"/>
  <c r="E48" i="7" l="1"/>
  <c r="D12" i="7"/>
  <c r="D11" i="7" s="1"/>
  <c r="C146" i="27" l="1"/>
  <c r="C145" i="27" s="1"/>
  <c r="E154" i="27"/>
  <c r="E152" i="27"/>
  <c r="E148" i="27"/>
  <c r="E147" i="27"/>
  <c r="D146" i="27"/>
  <c r="D145" i="27" s="1"/>
  <c r="E145" i="27" s="1"/>
  <c r="D9" i="7" l="1"/>
  <c r="E146" i="27"/>
  <c r="D155" i="27" l="1"/>
  <c r="C155" i="27"/>
  <c r="E158" i="27"/>
  <c r="C121" i="27"/>
  <c r="C118" i="27" s="1"/>
  <c r="E123" i="27"/>
  <c r="E120" i="27"/>
  <c r="E119" i="27"/>
  <c r="G60" i="24"/>
  <c r="E155" i="27" l="1"/>
  <c r="E25" i="6" l="1"/>
  <c r="F36" i="6" l="1"/>
  <c r="D33" i="6"/>
  <c r="D34" i="24"/>
  <c r="E34" i="24"/>
  <c r="Q20" i="21"/>
  <c r="BR24" i="32" l="1"/>
  <c r="BR29" i="32"/>
  <c r="BU40" i="32" l="1"/>
  <c r="BG40" i="32"/>
  <c r="BU39" i="32"/>
  <c r="BU38" i="32"/>
  <c r="BU37" i="32"/>
  <c r="BU36" i="32"/>
  <c r="BU35" i="32"/>
  <c r="BU34" i="32"/>
  <c r="BU33" i="32"/>
  <c r="BU32" i="32"/>
  <c r="BR32" i="32"/>
  <c r="BG32" i="32"/>
  <c r="BU31" i="32"/>
  <c r="BU30" i="32"/>
  <c r="BU29" i="32"/>
  <c r="BN29" i="32"/>
  <c r="BG29" i="32"/>
  <c r="BU28" i="32"/>
  <c r="BU27" i="32"/>
  <c r="BU26" i="32"/>
  <c r="BG26" i="32"/>
  <c r="BU25" i="32"/>
  <c r="BG25" i="32"/>
  <c r="BU24" i="32"/>
  <c r="BG24" i="32"/>
  <c r="BU23" i="32"/>
  <c r="BG23" i="32"/>
  <c r="BG22" i="32"/>
  <c r="BU21" i="32"/>
  <c r="BR21" i="32"/>
  <c r="BG21" i="32"/>
  <c r="BN20" i="32"/>
  <c r="BK20" i="32"/>
  <c r="BU19" i="32"/>
  <c r="BU18" i="32"/>
  <c r="BR18" i="32"/>
  <c r="BU17" i="32"/>
  <c r="BU16" i="32"/>
  <c r="BR16" i="32"/>
  <c r="BU15" i="32"/>
  <c r="BN15" i="32"/>
  <c r="BK15" i="32"/>
  <c r="BU14" i="32"/>
  <c r="BR14" i="32"/>
  <c r="BN14" i="32"/>
  <c r="BG14" i="32"/>
  <c r="BU52" i="32"/>
  <c r="BR52" i="32"/>
  <c r="BN52" i="32"/>
  <c r="BK52" i="32"/>
  <c r="BG52" i="32"/>
  <c r="BD52" i="32"/>
  <c r="BU51" i="32"/>
  <c r="BR51" i="32"/>
  <c r="BN51" i="32"/>
  <c r="BK51" i="32"/>
  <c r="BG51" i="32"/>
  <c r="BD51" i="32"/>
  <c r="BU50" i="32"/>
  <c r="BR50" i="32"/>
  <c r="BN50" i="32"/>
  <c r="BG50" i="32"/>
  <c r="BD50" i="32"/>
  <c r="BU49" i="32"/>
  <c r="BR49" i="32"/>
  <c r="BN49" i="32"/>
  <c r="BG49" i="32"/>
  <c r="BD49" i="32"/>
  <c r="BU48" i="32"/>
  <c r="BR48" i="32"/>
  <c r="BN48" i="32"/>
  <c r="BG48" i="32"/>
  <c r="BD48" i="32"/>
  <c r="BU47" i="32"/>
  <c r="BR47" i="32"/>
  <c r="BN47" i="32"/>
  <c r="BK47" i="32"/>
  <c r="BG47" i="32"/>
  <c r="BD47" i="32"/>
  <c r="BU46" i="32"/>
  <c r="BR46" i="32"/>
  <c r="BN46" i="32"/>
  <c r="BG46" i="32"/>
  <c r="BD46" i="32"/>
  <c r="BU45" i="32"/>
  <c r="BR45" i="32"/>
  <c r="BN45" i="32"/>
  <c r="BG45" i="32"/>
  <c r="BD45" i="32"/>
  <c r="BU44" i="32"/>
  <c r="BR44" i="32"/>
  <c r="BN44" i="32"/>
  <c r="BG44" i="32"/>
  <c r="BD44" i="32"/>
  <c r="BU43" i="32"/>
  <c r="BR43" i="32"/>
  <c r="BN43" i="32"/>
  <c r="BG43" i="32"/>
  <c r="BD43" i="32"/>
  <c r="AV52" i="32"/>
  <c r="AS52" i="32"/>
  <c r="AO52" i="32"/>
  <c r="AL52" i="32"/>
  <c r="AH52" i="32"/>
  <c r="AE52" i="32"/>
  <c r="AV51" i="32"/>
  <c r="AS51" i="32"/>
  <c r="AO51" i="32"/>
  <c r="AL51" i="32"/>
  <c r="AH51" i="32"/>
  <c r="AE51" i="32"/>
  <c r="AV50" i="32"/>
  <c r="AS50" i="32"/>
  <c r="AO50" i="32"/>
  <c r="AL50" i="32"/>
  <c r="AK50" i="32"/>
  <c r="AH50" i="32"/>
  <c r="AE50" i="32"/>
  <c r="AV49" i="32"/>
  <c r="AS49" i="32"/>
  <c r="AO49" i="32"/>
  <c r="AL49" i="32"/>
  <c r="AH49" i="32"/>
  <c r="AE49" i="32"/>
  <c r="AV48" i="32"/>
  <c r="AS48" i="32"/>
  <c r="AO48" i="32"/>
  <c r="AL48" i="32"/>
  <c r="AK48" i="32" s="1"/>
  <c r="AH48" i="32"/>
  <c r="AE48" i="32"/>
  <c r="AV47" i="32"/>
  <c r="AS47" i="32"/>
  <c r="AO47" i="32"/>
  <c r="AL47" i="32"/>
  <c r="AH47" i="32"/>
  <c r="AE47" i="32"/>
  <c r="AV46" i="32"/>
  <c r="AS46" i="32"/>
  <c r="AO46" i="32"/>
  <c r="AL46" i="32"/>
  <c r="AH46" i="32"/>
  <c r="AE46" i="32"/>
  <c r="AV45" i="32"/>
  <c r="AS45" i="32"/>
  <c r="AO45" i="32"/>
  <c r="AL45" i="32"/>
  <c r="AH45" i="32"/>
  <c r="AE45" i="32"/>
  <c r="AD45" i="32" s="1"/>
  <c r="AV44" i="32"/>
  <c r="AS44" i="32"/>
  <c r="AO44" i="32"/>
  <c r="AL44" i="32"/>
  <c r="AH44" i="32"/>
  <c r="AE44" i="32"/>
  <c r="AV43" i="32"/>
  <c r="AS43" i="32"/>
  <c r="AO43" i="32"/>
  <c r="AL43" i="32"/>
  <c r="AH43" i="32"/>
  <c r="AE43" i="32"/>
  <c r="AX42" i="32"/>
  <c r="AW42" i="32"/>
  <c r="AU42" i="32"/>
  <c r="AT42" i="32"/>
  <c r="AT12" i="32" s="1"/>
  <c r="AQ42" i="32"/>
  <c r="AP42" i="32"/>
  <c r="AN42" i="32"/>
  <c r="AM42" i="32"/>
  <c r="AJ42" i="32"/>
  <c r="AI42" i="32"/>
  <c r="AG42" i="32"/>
  <c r="AF42" i="32"/>
  <c r="AF12" i="32" s="1"/>
  <c r="AV40" i="32"/>
  <c r="AS40" i="32"/>
  <c r="AO40" i="32"/>
  <c r="AL40" i="32"/>
  <c r="AK40" i="32" s="1"/>
  <c r="AH40" i="32"/>
  <c r="AE40" i="32"/>
  <c r="AV39" i="32"/>
  <c r="AS39" i="32"/>
  <c r="AO39" i="32"/>
  <c r="AL39" i="32"/>
  <c r="AH39" i="32"/>
  <c r="AE39" i="32"/>
  <c r="AD39" i="32" s="1"/>
  <c r="AV38" i="32"/>
  <c r="AS38" i="32"/>
  <c r="AO38" i="32"/>
  <c r="AL38" i="32"/>
  <c r="AK38" i="32" s="1"/>
  <c r="AH38" i="32"/>
  <c r="AE38" i="32"/>
  <c r="AV37" i="32"/>
  <c r="AS37" i="32"/>
  <c r="AO37" i="32"/>
  <c r="AL37" i="32"/>
  <c r="AH37" i="32"/>
  <c r="AC37" i="32" s="1"/>
  <c r="AE37" i="32"/>
  <c r="AV36" i="32"/>
  <c r="AS36" i="32"/>
  <c r="AO36" i="32"/>
  <c r="AL36" i="32"/>
  <c r="AK36" i="32" s="1"/>
  <c r="AH36" i="32"/>
  <c r="AE36" i="32"/>
  <c r="AV35" i="32"/>
  <c r="AS35" i="32"/>
  <c r="AO35" i="32"/>
  <c r="AL35" i="32"/>
  <c r="AH35" i="32"/>
  <c r="AE35" i="32"/>
  <c r="AV34" i="32"/>
  <c r="AS34" i="32"/>
  <c r="AO34" i="32"/>
  <c r="AL34" i="32"/>
  <c r="AH34" i="32"/>
  <c r="AE34" i="32"/>
  <c r="AV33" i="32"/>
  <c r="AS33" i="32"/>
  <c r="AO33" i="32"/>
  <c r="AL33" i="32"/>
  <c r="AH33" i="32"/>
  <c r="AE33" i="32"/>
  <c r="AV32" i="32"/>
  <c r="AS32" i="32"/>
  <c r="AO32" i="32"/>
  <c r="AL32" i="32"/>
  <c r="AK32" i="32" s="1"/>
  <c r="AH32" i="32"/>
  <c r="AE32" i="32"/>
  <c r="AV31" i="32"/>
  <c r="AS31" i="32"/>
  <c r="AO31" i="32"/>
  <c r="AL31" i="32"/>
  <c r="AH31" i="32"/>
  <c r="AE31" i="32"/>
  <c r="AV30" i="32"/>
  <c r="AS30" i="32"/>
  <c r="AO30" i="32"/>
  <c r="AL30" i="32"/>
  <c r="AK30" i="32" s="1"/>
  <c r="AH30" i="32"/>
  <c r="AE30" i="32"/>
  <c r="AV29" i="32"/>
  <c r="AS29" i="32"/>
  <c r="AO29" i="32"/>
  <c r="AL29" i="32"/>
  <c r="AH29" i="32"/>
  <c r="AE29" i="32"/>
  <c r="AV28" i="32"/>
  <c r="AS28" i="32"/>
  <c r="AO28" i="32"/>
  <c r="AL28" i="32"/>
  <c r="AH28" i="32"/>
  <c r="AE28" i="32"/>
  <c r="AV27" i="32"/>
  <c r="AS27" i="32"/>
  <c r="AO27" i="32"/>
  <c r="AL27" i="32"/>
  <c r="AH27" i="32"/>
  <c r="AE27" i="32"/>
  <c r="AV26" i="32"/>
  <c r="AS26" i="32"/>
  <c r="AO26" i="32"/>
  <c r="AL26" i="32"/>
  <c r="AK26" i="32" s="1"/>
  <c r="AH26" i="32"/>
  <c r="AE26" i="32"/>
  <c r="AV25" i="32"/>
  <c r="AS25" i="32"/>
  <c r="AO25" i="32"/>
  <c r="AL25" i="32"/>
  <c r="AH25" i="32"/>
  <c r="AE25" i="32"/>
  <c r="AV24" i="32"/>
  <c r="AS24" i="32"/>
  <c r="AO24" i="32"/>
  <c r="AL24" i="32"/>
  <c r="AH24" i="32"/>
  <c r="AE24" i="32"/>
  <c r="AV23" i="32"/>
  <c r="AS23" i="32"/>
  <c r="AO23" i="32"/>
  <c r="AL23" i="32"/>
  <c r="AH23" i="32"/>
  <c r="AE23" i="32"/>
  <c r="AV22" i="32"/>
  <c r="AS22" i="32"/>
  <c r="AO22" i="32"/>
  <c r="AL22" i="32"/>
  <c r="AH22" i="32"/>
  <c r="AE22" i="32"/>
  <c r="AV21" i="32"/>
  <c r="AS21" i="32"/>
  <c r="AO21" i="32"/>
  <c r="AL21" i="32"/>
  <c r="AH21" i="32"/>
  <c r="AE21" i="32"/>
  <c r="AD21" i="32" s="1"/>
  <c r="AV20" i="32"/>
  <c r="AS20" i="32"/>
  <c r="AO20" i="32"/>
  <c r="AL20" i="32"/>
  <c r="AK20" i="32" s="1"/>
  <c r="AH20" i="32"/>
  <c r="AE20" i="32"/>
  <c r="AV19" i="32"/>
  <c r="AS19" i="32"/>
  <c r="AO19" i="32"/>
  <c r="AL19" i="32"/>
  <c r="AH19" i="32"/>
  <c r="AE19" i="32"/>
  <c r="AV18" i="32"/>
  <c r="AS18" i="32"/>
  <c r="AO18" i="32"/>
  <c r="AL18" i="32"/>
  <c r="AK18" i="32" s="1"/>
  <c r="AH18" i="32"/>
  <c r="AE18" i="32"/>
  <c r="AV17" i="32"/>
  <c r="AS17" i="32"/>
  <c r="AO17" i="32"/>
  <c r="AL17" i="32"/>
  <c r="AH17" i="32"/>
  <c r="AE17" i="32"/>
  <c r="AV16" i="32"/>
  <c r="AS16" i="32"/>
  <c r="AO16" i="32"/>
  <c r="AL16" i="32"/>
  <c r="AH16" i="32"/>
  <c r="AE16" i="32"/>
  <c r="AV15" i="32"/>
  <c r="AS15" i="32"/>
  <c r="AO15" i="32"/>
  <c r="AL15" i="32"/>
  <c r="AH15" i="32"/>
  <c r="AE15" i="32"/>
  <c r="AV14" i="32"/>
  <c r="AS14" i="32"/>
  <c r="AO14" i="32"/>
  <c r="AO13" i="32" s="1"/>
  <c r="AL14" i="32"/>
  <c r="AH14" i="32"/>
  <c r="AE14" i="32"/>
  <c r="AG12" i="32"/>
  <c r="AX12" i="32"/>
  <c r="AU12" i="32"/>
  <c r="AN12" i="32"/>
  <c r="AJ12" i="32"/>
  <c r="X40" i="32"/>
  <c r="U40" i="32"/>
  <c r="Q40" i="32"/>
  <c r="N40" i="32"/>
  <c r="X39" i="32"/>
  <c r="U39" i="32"/>
  <c r="T39" i="32" s="1"/>
  <c r="Q39" i="32"/>
  <c r="N39" i="32"/>
  <c r="X38" i="32"/>
  <c r="U38" i="32"/>
  <c r="Q38" i="32"/>
  <c r="N38" i="32"/>
  <c r="X37" i="32"/>
  <c r="U37" i="32"/>
  <c r="Q37" i="32"/>
  <c r="N37" i="32"/>
  <c r="X36" i="32"/>
  <c r="U36" i="32"/>
  <c r="Q36" i="32"/>
  <c r="N36" i="32"/>
  <c r="X35" i="32"/>
  <c r="U35" i="32"/>
  <c r="Q35" i="32"/>
  <c r="N35" i="32"/>
  <c r="X34" i="32"/>
  <c r="U34" i="32"/>
  <c r="Q34" i="32"/>
  <c r="N34" i="32"/>
  <c r="X33" i="32"/>
  <c r="U33" i="32"/>
  <c r="Q33" i="32"/>
  <c r="N33" i="32"/>
  <c r="X32" i="32"/>
  <c r="U32" i="32"/>
  <c r="Q32" i="32"/>
  <c r="N32" i="32"/>
  <c r="X31" i="32"/>
  <c r="U31" i="32"/>
  <c r="Q31" i="32"/>
  <c r="N31" i="32"/>
  <c r="X30" i="32"/>
  <c r="U30" i="32"/>
  <c r="Q30" i="32"/>
  <c r="N30" i="32"/>
  <c r="X29" i="32"/>
  <c r="U29" i="32"/>
  <c r="Q29" i="32"/>
  <c r="N29" i="32"/>
  <c r="X28" i="32"/>
  <c r="U28" i="32"/>
  <c r="Q28" i="32"/>
  <c r="N28" i="32"/>
  <c r="X27" i="32"/>
  <c r="U27" i="32"/>
  <c r="Q27" i="32"/>
  <c r="N27" i="32"/>
  <c r="X26" i="32"/>
  <c r="U26" i="32"/>
  <c r="Q26" i="32"/>
  <c r="N26" i="32"/>
  <c r="X25" i="32"/>
  <c r="U25" i="32"/>
  <c r="Q25" i="32"/>
  <c r="N25" i="32"/>
  <c r="X24" i="32"/>
  <c r="U24" i="32"/>
  <c r="Q24" i="32"/>
  <c r="N24" i="32"/>
  <c r="X23" i="32"/>
  <c r="U23" i="32"/>
  <c r="T23" i="32" s="1"/>
  <c r="Q23" i="32"/>
  <c r="N23" i="32"/>
  <c r="X22" i="32"/>
  <c r="U22" i="32"/>
  <c r="Q22" i="32"/>
  <c r="N22" i="32"/>
  <c r="X21" i="32"/>
  <c r="U21" i="32"/>
  <c r="Q21" i="32"/>
  <c r="N21" i="32"/>
  <c r="X20" i="32"/>
  <c r="U20" i="32"/>
  <c r="Q20" i="32"/>
  <c r="N20" i="32"/>
  <c r="X19" i="32"/>
  <c r="U19" i="32"/>
  <c r="Q19" i="32"/>
  <c r="N19" i="32"/>
  <c r="X18" i="32"/>
  <c r="U18" i="32"/>
  <c r="Q18" i="32"/>
  <c r="N18" i="32"/>
  <c r="X17" i="32"/>
  <c r="U17" i="32"/>
  <c r="Q17" i="32"/>
  <c r="N17" i="32"/>
  <c r="X16" i="32"/>
  <c r="U16" i="32"/>
  <c r="Q16" i="32"/>
  <c r="N16" i="32"/>
  <c r="X15" i="32"/>
  <c r="U15" i="32"/>
  <c r="Q15" i="32"/>
  <c r="N15" i="32"/>
  <c r="X14" i="32"/>
  <c r="X13" i="32" s="1"/>
  <c r="U14" i="32"/>
  <c r="Q14" i="32"/>
  <c r="N14" i="32"/>
  <c r="N13" i="32" s="1"/>
  <c r="X52" i="32"/>
  <c r="U52" i="32"/>
  <c r="Q52" i="32"/>
  <c r="N52" i="32"/>
  <c r="X51" i="32"/>
  <c r="U51" i="32"/>
  <c r="Q51" i="32"/>
  <c r="N51" i="32"/>
  <c r="X50" i="32"/>
  <c r="U50" i="32"/>
  <c r="T50" i="32" s="1"/>
  <c r="Q50" i="32"/>
  <c r="N50" i="32"/>
  <c r="X49" i="32"/>
  <c r="U49" i="32"/>
  <c r="Q49" i="32"/>
  <c r="N49" i="32"/>
  <c r="X48" i="32"/>
  <c r="U48" i="32"/>
  <c r="Q48" i="32"/>
  <c r="N48" i="32"/>
  <c r="X47" i="32"/>
  <c r="U47" i="32"/>
  <c r="Q47" i="32"/>
  <c r="N47" i="32"/>
  <c r="X46" i="32"/>
  <c r="U46" i="32"/>
  <c r="Q46" i="32"/>
  <c r="N46" i="32"/>
  <c r="X45" i="32"/>
  <c r="U45" i="32"/>
  <c r="Q45" i="32"/>
  <c r="N45" i="32"/>
  <c r="X44" i="32"/>
  <c r="U44" i="32"/>
  <c r="Q44" i="32"/>
  <c r="N44" i="32"/>
  <c r="X43" i="32"/>
  <c r="U43" i="32"/>
  <c r="Q43" i="32"/>
  <c r="N43" i="32"/>
  <c r="J52" i="32"/>
  <c r="G52" i="32"/>
  <c r="J51" i="32"/>
  <c r="G51" i="32"/>
  <c r="J50" i="32"/>
  <c r="G50" i="32"/>
  <c r="J49" i="32"/>
  <c r="G49" i="32"/>
  <c r="J48" i="32"/>
  <c r="G48" i="32"/>
  <c r="J47" i="32"/>
  <c r="G47" i="32"/>
  <c r="J46" i="32"/>
  <c r="G46" i="32"/>
  <c r="J45" i="32"/>
  <c r="G45" i="32"/>
  <c r="J44" i="32"/>
  <c r="G44" i="32"/>
  <c r="J43" i="32"/>
  <c r="G43" i="32"/>
  <c r="G15" i="32"/>
  <c r="J15" i="32"/>
  <c r="G16" i="32"/>
  <c r="J16" i="32"/>
  <c r="G17" i="32"/>
  <c r="J17" i="32"/>
  <c r="G18" i="32"/>
  <c r="J18" i="32"/>
  <c r="G19" i="32"/>
  <c r="J19" i="32"/>
  <c r="G20" i="32"/>
  <c r="J20" i="32"/>
  <c r="G21" i="32"/>
  <c r="J21" i="32"/>
  <c r="G22" i="32"/>
  <c r="J22" i="32"/>
  <c r="G23" i="32"/>
  <c r="J23" i="32"/>
  <c r="G24" i="32"/>
  <c r="J24" i="32"/>
  <c r="G25" i="32"/>
  <c r="J25" i="32"/>
  <c r="G26" i="32"/>
  <c r="J26" i="32"/>
  <c r="G27" i="32"/>
  <c r="J27" i="32"/>
  <c r="G28" i="32"/>
  <c r="J28" i="32"/>
  <c r="G29" i="32"/>
  <c r="J29" i="32"/>
  <c r="G30" i="32"/>
  <c r="J30" i="32"/>
  <c r="G31" i="32"/>
  <c r="J31" i="32"/>
  <c r="G32" i="32"/>
  <c r="J32" i="32"/>
  <c r="G33" i="32"/>
  <c r="J33" i="32"/>
  <c r="G34" i="32"/>
  <c r="J34" i="32"/>
  <c r="G35" i="32"/>
  <c r="J35" i="32"/>
  <c r="G36" i="32"/>
  <c r="J36" i="32"/>
  <c r="G37" i="32"/>
  <c r="J37" i="32"/>
  <c r="G38" i="32"/>
  <c r="J38" i="32"/>
  <c r="G39" i="32"/>
  <c r="J39" i="32"/>
  <c r="G40" i="32"/>
  <c r="J40" i="32"/>
  <c r="J14" i="32"/>
  <c r="G14" i="32"/>
  <c r="D19" i="32"/>
  <c r="H42" i="32"/>
  <c r="I42" i="32"/>
  <c r="K42" i="32"/>
  <c r="L42" i="32"/>
  <c r="O42" i="32"/>
  <c r="P42" i="32"/>
  <c r="R42" i="32"/>
  <c r="S42" i="32"/>
  <c r="V42" i="32"/>
  <c r="W42" i="32"/>
  <c r="Y42" i="32"/>
  <c r="Z42" i="32"/>
  <c r="P12" i="32"/>
  <c r="Q13" i="32" l="1"/>
  <c r="AR20" i="32"/>
  <c r="AD22" i="32"/>
  <c r="BB22" i="32" s="1"/>
  <c r="AR22" i="32"/>
  <c r="AK25" i="32"/>
  <c r="AK27" i="32"/>
  <c r="AD30" i="32"/>
  <c r="AR30" i="32"/>
  <c r="AK31" i="32"/>
  <c r="AD50" i="32"/>
  <c r="AC51" i="32"/>
  <c r="BA51" i="32" s="1"/>
  <c r="AV13" i="32"/>
  <c r="AC34" i="32"/>
  <c r="E43" i="32"/>
  <c r="M13" i="21" s="1"/>
  <c r="E51" i="32"/>
  <c r="M21" i="21" s="1"/>
  <c r="AK51" i="32"/>
  <c r="F35" i="32"/>
  <c r="F27" i="32"/>
  <c r="F19" i="32"/>
  <c r="F46" i="32"/>
  <c r="F50" i="32"/>
  <c r="T43" i="32"/>
  <c r="T51" i="32"/>
  <c r="U13" i="32"/>
  <c r="AE13" i="32"/>
  <c r="AC14" i="32"/>
  <c r="AH13" i="32"/>
  <c r="AC50" i="32"/>
  <c r="AL13" i="32"/>
  <c r="G13" i="32"/>
  <c r="J13" i="32"/>
  <c r="AS13" i="32"/>
  <c r="BQ13" i="32" s="1"/>
  <c r="E28" i="32"/>
  <c r="M20" i="32"/>
  <c r="M24" i="32"/>
  <c r="M32" i="32"/>
  <c r="M40" i="32"/>
  <c r="D27" i="32"/>
  <c r="T17" i="32"/>
  <c r="AC17" i="32"/>
  <c r="AQ12" i="32"/>
  <c r="AD27" i="32"/>
  <c r="D37" i="32"/>
  <c r="D33" i="32"/>
  <c r="D29" i="32"/>
  <c r="D21" i="32"/>
  <c r="AK35" i="32"/>
  <c r="D15" i="32"/>
  <c r="D35" i="32"/>
  <c r="D39" i="32"/>
  <c r="AD18" i="32"/>
  <c r="AD35" i="32"/>
  <c r="AD38" i="32"/>
  <c r="AC39" i="32"/>
  <c r="M49" i="32"/>
  <c r="AK17" i="32"/>
  <c r="AC27" i="32"/>
  <c r="AD32" i="32"/>
  <c r="AK34" i="32"/>
  <c r="AR37" i="32"/>
  <c r="AB22" i="32"/>
  <c r="AK23" i="32"/>
  <c r="AD31" i="32"/>
  <c r="D17" i="32"/>
  <c r="AB14" i="32"/>
  <c r="AC21" i="32"/>
  <c r="AC30" i="32"/>
  <c r="AR35" i="32"/>
  <c r="H12" i="32"/>
  <c r="BD12" i="32" s="1"/>
  <c r="F34" i="32"/>
  <c r="F26" i="32"/>
  <c r="BB26" i="32" s="1"/>
  <c r="F18" i="32"/>
  <c r="M44" i="32"/>
  <c r="M48" i="32"/>
  <c r="AC18" i="32"/>
  <c r="AC20" i="32"/>
  <c r="AR27" i="32"/>
  <c r="AC35" i="32"/>
  <c r="AB37" i="32"/>
  <c r="AA37" i="32" s="1"/>
  <c r="AK39" i="32"/>
  <c r="AB24" i="32"/>
  <c r="AL42" i="32"/>
  <c r="AD17" i="32"/>
  <c r="AD34" i="32"/>
  <c r="AK37" i="32"/>
  <c r="AE42" i="32"/>
  <c r="AD46" i="32"/>
  <c r="BB46" i="32" s="1"/>
  <c r="AK47" i="32"/>
  <c r="AD52" i="32"/>
  <c r="M16" i="32"/>
  <c r="M28" i="32"/>
  <c r="D31" i="32"/>
  <c r="T33" i="32"/>
  <c r="M36" i="32"/>
  <c r="AK14" i="32"/>
  <c r="AD15" i="32"/>
  <c r="AD16" i="32"/>
  <c r="AK16" i="32"/>
  <c r="AD19" i="32"/>
  <c r="AK19" i="32"/>
  <c r="AK21" i="32"/>
  <c r="AK22" i="32"/>
  <c r="AD23" i="32"/>
  <c r="AC23" i="32"/>
  <c r="AK24" i="32"/>
  <c r="AD25" i="32"/>
  <c r="AC25" i="32"/>
  <c r="AD26" i="32"/>
  <c r="AD28" i="32"/>
  <c r="AK28" i="32"/>
  <c r="AD33" i="32"/>
  <c r="AK33" i="32"/>
  <c r="AD36" i="32"/>
  <c r="AC38" i="32"/>
  <c r="T49" i="32"/>
  <c r="T32" i="32"/>
  <c r="AD20" i="32"/>
  <c r="AD37" i="32"/>
  <c r="AR39" i="32"/>
  <c r="BP39" i="32" s="1"/>
  <c r="T16" i="32"/>
  <c r="AR33" i="32"/>
  <c r="AB38" i="32"/>
  <c r="AB40" i="32"/>
  <c r="F48" i="32"/>
  <c r="F52" i="32"/>
  <c r="AC16" i="32"/>
  <c r="AR17" i="32"/>
  <c r="BP17" i="32" s="1"/>
  <c r="AB25" i="32"/>
  <c r="AC28" i="32"/>
  <c r="AC33" i="32"/>
  <c r="AB39" i="32"/>
  <c r="Y12" i="32"/>
  <c r="K12" i="32"/>
  <c r="F49" i="32"/>
  <c r="M43" i="32"/>
  <c r="M47" i="32"/>
  <c r="T52" i="32"/>
  <c r="AB15" i="32"/>
  <c r="E18" i="32"/>
  <c r="AC19" i="32"/>
  <c r="AC36" i="32"/>
  <c r="AR38" i="32"/>
  <c r="I12" i="32"/>
  <c r="F14" i="32"/>
  <c r="F39" i="32"/>
  <c r="F38" i="32"/>
  <c r="F36" i="32"/>
  <c r="F33" i="32"/>
  <c r="F31" i="32"/>
  <c r="F30" i="32"/>
  <c r="F28" i="32"/>
  <c r="F25" i="32"/>
  <c r="BB25" i="32" s="1"/>
  <c r="F23" i="32"/>
  <c r="F22" i="32"/>
  <c r="F20" i="32"/>
  <c r="F17" i="32"/>
  <c r="F15" i="32"/>
  <c r="J42" i="32"/>
  <c r="F45" i="32"/>
  <c r="BB45" i="32" s="1"/>
  <c r="F47" i="32"/>
  <c r="T44" i="32"/>
  <c r="M45" i="32"/>
  <c r="T48" i="32"/>
  <c r="E49" i="32"/>
  <c r="M18" i="21" s="1"/>
  <c r="E52" i="32"/>
  <c r="M19" i="21" s="1"/>
  <c r="M14" i="32"/>
  <c r="M18" i="32"/>
  <c r="D18" i="32"/>
  <c r="T19" i="32"/>
  <c r="E20" i="32"/>
  <c r="M22" i="32"/>
  <c r="M23" i="32"/>
  <c r="D23" i="32"/>
  <c r="M26" i="32"/>
  <c r="T29" i="32"/>
  <c r="D30" i="32"/>
  <c r="M30" i="32"/>
  <c r="M34" i="32"/>
  <c r="M35" i="32"/>
  <c r="T35" i="32"/>
  <c r="BP35" i="32" s="1"/>
  <c r="E36" i="32"/>
  <c r="M37" i="32"/>
  <c r="M38" i="32"/>
  <c r="E39" i="32"/>
  <c r="C39" i="32" s="1"/>
  <c r="AI12" i="32"/>
  <c r="BG13" i="32"/>
  <c r="AM12" i="32"/>
  <c r="BK13" i="32"/>
  <c r="BN13" i="32"/>
  <c r="BR13" i="32"/>
  <c r="AW12" i="32"/>
  <c r="BU13" i="32"/>
  <c r="BF14" i="32"/>
  <c r="BM14" i="32"/>
  <c r="BQ14" i="32"/>
  <c r="BT14" i="32"/>
  <c r="BJ15" i="32"/>
  <c r="AK15" i="32"/>
  <c r="BM15" i="32"/>
  <c r="BT15" i="32"/>
  <c r="AB16" i="32"/>
  <c r="AR16" i="32"/>
  <c r="BQ16" i="32"/>
  <c r="BT16" i="32"/>
  <c r="AB17" i="32"/>
  <c r="BT17" i="32"/>
  <c r="BA18" i="32"/>
  <c r="AB18" i="32"/>
  <c r="BQ18" i="32"/>
  <c r="BT18" i="32"/>
  <c r="AB19" i="32"/>
  <c r="BT19" i="32"/>
  <c r="BA20" i="32"/>
  <c r="BI20" i="32"/>
  <c r="BJ20" i="32"/>
  <c r="BM20" i="32"/>
  <c r="BF21" i="32"/>
  <c r="AB21" i="32"/>
  <c r="AZ21" i="32" s="1"/>
  <c r="AR21" i="32"/>
  <c r="BQ21" i="32"/>
  <c r="BT21" i="32"/>
  <c r="AC22" i="32"/>
  <c r="AA22" i="32" s="1"/>
  <c r="BF22" i="32"/>
  <c r="BF23" i="32"/>
  <c r="AB23" i="32"/>
  <c r="BT23" i="32"/>
  <c r="AD24" i="32"/>
  <c r="BF24" i="32"/>
  <c r="BQ24" i="32"/>
  <c r="BT24" i="32"/>
  <c r="BF25" i="32"/>
  <c r="BT25" i="32"/>
  <c r="BF26" i="32"/>
  <c r="AB26" i="32"/>
  <c r="AC26" i="32"/>
  <c r="BT26" i="32"/>
  <c r="AB27" i="32"/>
  <c r="BT27" i="32"/>
  <c r="BA28" i="32"/>
  <c r="AB28" i="32"/>
  <c r="BT28" i="32"/>
  <c r="AD29" i="32"/>
  <c r="BF29" i="32"/>
  <c r="AB29" i="32"/>
  <c r="AZ29" i="32" s="1"/>
  <c r="AK29" i="32"/>
  <c r="BM29" i="32"/>
  <c r="BQ29" i="32"/>
  <c r="BT29" i="32"/>
  <c r="AB30" i="32"/>
  <c r="AA30" i="32" s="1"/>
  <c r="BT30" i="32"/>
  <c r="AB31" i="32"/>
  <c r="AC31" i="32"/>
  <c r="BT31" i="32"/>
  <c r="BF32" i="32"/>
  <c r="AB32" i="32"/>
  <c r="BQ32" i="32"/>
  <c r="BT32" i="32"/>
  <c r="AB33" i="32"/>
  <c r="AA33" i="32" s="1"/>
  <c r="BT33" i="32"/>
  <c r="AB34" i="32"/>
  <c r="AA34" i="32" s="1"/>
  <c r="BT34" i="32"/>
  <c r="AB35" i="32"/>
  <c r="BT35" i="32"/>
  <c r="BA36" i="32"/>
  <c r="AB36" i="32"/>
  <c r="AA36" i="32" s="1"/>
  <c r="BT36" i="32"/>
  <c r="BT37" i="32"/>
  <c r="AA38" i="32"/>
  <c r="BT38" i="32"/>
  <c r="BT39" i="32"/>
  <c r="AD40" i="32"/>
  <c r="BF40" i="32"/>
  <c r="BT40" i="32"/>
  <c r="BD42" i="32"/>
  <c r="BG42" i="32"/>
  <c r="BK42" i="32"/>
  <c r="BN42" i="32"/>
  <c r="BR42" i="32"/>
  <c r="BU42" i="32"/>
  <c r="AB43" i="32"/>
  <c r="BC43" i="32"/>
  <c r="BF43" i="32"/>
  <c r="AK43" i="32"/>
  <c r="BM43" i="32"/>
  <c r="AR43" i="32"/>
  <c r="BP43" i="32" s="1"/>
  <c r="BQ43" i="32"/>
  <c r="BT43" i="32"/>
  <c r="AB44" i="32"/>
  <c r="BC44" i="32"/>
  <c r="AD44" i="32"/>
  <c r="BF44" i="32"/>
  <c r="AK44" i="32"/>
  <c r="BI44" i="32" s="1"/>
  <c r="BM44" i="32"/>
  <c r="AR44" i="32"/>
  <c r="BQ44" i="32"/>
  <c r="BT44" i="32"/>
  <c r="AB45" i="32"/>
  <c r="BC45" i="32"/>
  <c r="BF45" i="32"/>
  <c r="AK45" i="32"/>
  <c r="BI45" i="32" s="1"/>
  <c r="BM45" i="32"/>
  <c r="BQ45" i="32"/>
  <c r="BT45" i="32"/>
  <c r="AB46" i="32"/>
  <c r="BC46" i="32"/>
  <c r="BF46" i="32"/>
  <c r="AK46" i="32"/>
  <c r="BM46" i="32"/>
  <c r="AR46" i="32"/>
  <c r="BQ46" i="32"/>
  <c r="BT46" i="32"/>
  <c r="BC47" i="32"/>
  <c r="BF47" i="32"/>
  <c r="BJ47" i="32"/>
  <c r="BM47" i="32"/>
  <c r="BQ47" i="32"/>
  <c r="BT47" i="32"/>
  <c r="AB48" i="32"/>
  <c r="BC48" i="32"/>
  <c r="AD48" i="32"/>
  <c r="BF48" i="32"/>
  <c r="BI48" i="32"/>
  <c r="BM48" i="32"/>
  <c r="BQ48" i="32"/>
  <c r="AC48" i="32"/>
  <c r="BT48" i="32"/>
  <c r="AB49" i="32"/>
  <c r="BC49" i="32"/>
  <c r="AD49" i="32"/>
  <c r="BB49" i="32" s="1"/>
  <c r="BF49" i="32"/>
  <c r="AK49" i="32"/>
  <c r="BM49" i="32"/>
  <c r="BQ49" i="32"/>
  <c r="BT49" i="32"/>
  <c r="Y20" i="21"/>
  <c r="BB50" i="32"/>
  <c r="BC50" i="32"/>
  <c r="BF50" i="32"/>
  <c r="BM50" i="32"/>
  <c r="AR50" i="32"/>
  <c r="BP50" i="32" s="1"/>
  <c r="BQ50" i="32"/>
  <c r="BT50" i="32"/>
  <c r="BC51" i="32"/>
  <c r="BF51" i="32"/>
  <c r="BJ51" i="32"/>
  <c r="BM51" i="32"/>
  <c r="AR51" i="32"/>
  <c r="BQ51" i="32"/>
  <c r="BT51" i="32"/>
  <c r="BB52" i="32"/>
  <c r="AB52" i="32"/>
  <c r="BC52" i="32"/>
  <c r="BF52" i="32"/>
  <c r="AK52" i="32"/>
  <c r="BJ52" i="32"/>
  <c r="BM52" i="32"/>
  <c r="BQ52" i="32"/>
  <c r="BT52" i="32"/>
  <c r="AV42" i="32"/>
  <c r="AR45" i="32"/>
  <c r="AR49" i="32"/>
  <c r="AR52" i="32"/>
  <c r="AC47" i="32"/>
  <c r="AR47" i="32"/>
  <c r="AR48" i="32"/>
  <c r="AB50" i="32"/>
  <c r="AA50" i="32" s="1"/>
  <c r="AB51" i="32"/>
  <c r="AS42" i="32"/>
  <c r="AR36" i="32"/>
  <c r="AR40" i="32"/>
  <c r="AC32" i="32"/>
  <c r="AR32" i="32"/>
  <c r="BP32" i="32" s="1"/>
  <c r="AR34" i="32"/>
  <c r="AR31" i="32"/>
  <c r="AR29" i="32"/>
  <c r="AA26" i="32"/>
  <c r="AR28" i="32"/>
  <c r="AA27" i="32"/>
  <c r="AR26" i="32"/>
  <c r="AR25" i="32"/>
  <c r="AR24" i="32"/>
  <c r="AR23" i="32"/>
  <c r="BP23" i="32" s="1"/>
  <c r="AR18" i="32"/>
  <c r="AR19" i="32"/>
  <c r="AA16" i="32"/>
  <c r="AR15" i="32"/>
  <c r="AR14" i="32"/>
  <c r="AC15" i="32"/>
  <c r="AP12" i="32"/>
  <c r="AB20" i="32"/>
  <c r="AC52" i="32"/>
  <c r="AB47" i="32"/>
  <c r="AC46" i="32"/>
  <c r="AO42" i="32"/>
  <c r="AC45" i="32"/>
  <c r="AC43" i="32"/>
  <c r="AC44" i="32"/>
  <c r="AC49" i="32"/>
  <c r="AH42" i="32"/>
  <c r="BF42" i="32" s="1"/>
  <c r="AD43" i="32"/>
  <c r="AD47" i="32"/>
  <c r="AD51" i="32"/>
  <c r="AC40" i="32"/>
  <c r="AC29" i="32"/>
  <c r="AC24" i="32"/>
  <c r="AA21" i="32"/>
  <c r="AD14" i="32"/>
  <c r="E47" i="32"/>
  <c r="M22" i="21" s="1"/>
  <c r="E48" i="32"/>
  <c r="M17" i="21" s="1"/>
  <c r="X42" i="32"/>
  <c r="X12" i="32" s="1"/>
  <c r="T45" i="32"/>
  <c r="T46" i="32"/>
  <c r="T47" i="32"/>
  <c r="E45" i="32"/>
  <c r="M15" i="21" s="1"/>
  <c r="M50" i="32"/>
  <c r="BI50" i="32" s="1"/>
  <c r="M46" i="32"/>
  <c r="M51" i="32"/>
  <c r="BI51" i="32" s="1"/>
  <c r="M52" i="32"/>
  <c r="D51" i="32"/>
  <c r="N42" i="32"/>
  <c r="BJ42" i="32" s="1"/>
  <c r="D43" i="32"/>
  <c r="L13" i="21" s="1"/>
  <c r="E46" i="32"/>
  <c r="M16" i="21" s="1"/>
  <c r="E50" i="32"/>
  <c r="E44" i="32"/>
  <c r="F43" i="32"/>
  <c r="G42" i="32"/>
  <c r="F51" i="32"/>
  <c r="D47" i="32"/>
  <c r="T24" i="32"/>
  <c r="T25" i="32"/>
  <c r="T26" i="32"/>
  <c r="T27" i="32"/>
  <c r="BP27" i="32" s="1"/>
  <c r="T34" i="32"/>
  <c r="T40" i="32"/>
  <c r="E15" i="32"/>
  <c r="T28" i="32"/>
  <c r="E31" i="32"/>
  <c r="E37" i="32"/>
  <c r="BA37" i="32" s="1"/>
  <c r="T14" i="32"/>
  <c r="T15" i="32"/>
  <c r="T20" i="32"/>
  <c r="T21" i="32"/>
  <c r="T22" i="32"/>
  <c r="T30" i="32"/>
  <c r="BP30" i="32" s="1"/>
  <c r="T31" i="32"/>
  <c r="T36" i="32"/>
  <c r="T37" i="32"/>
  <c r="BP37" i="32" s="1"/>
  <c r="T38" i="32"/>
  <c r="BP38" i="32" s="1"/>
  <c r="D25" i="32"/>
  <c r="D22" i="32"/>
  <c r="D38" i="32"/>
  <c r="E22" i="32"/>
  <c r="E30" i="32"/>
  <c r="E38" i="32"/>
  <c r="BA38" i="32" s="1"/>
  <c r="E23" i="32"/>
  <c r="E29" i="32"/>
  <c r="C29" i="32" s="1"/>
  <c r="M15" i="32"/>
  <c r="M19" i="32"/>
  <c r="M27" i="32"/>
  <c r="M31" i="32"/>
  <c r="M39" i="32"/>
  <c r="E21" i="32"/>
  <c r="M17" i="32"/>
  <c r="M21" i="32"/>
  <c r="M25" i="32"/>
  <c r="M29" i="32"/>
  <c r="M33" i="32"/>
  <c r="N12" i="32"/>
  <c r="E26" i="32"/>
  <c r="E34" i="32"/>
  <c r="BA34" i="32" s="1"/>
  <c r="F40" i="32"/>
  <c r="F37" i="32"/>
  <c r="F32" i="32"/>
  <c r="BB32" i="32" s="1"/>
  <c r="F29" i="32"/>
  <c r="F24" i="32"/>
  <c r="F21" i="32"/>
  <c r="F16" i="32"/>
  <c r="E16" i="32"/>
  <c r="BA16" i="32" s="1"/>
  <c r="E19" i="32"/>
  <c r="E24" i="32"/>
  <c r="E27" i="32"/>
  <c r="BA27" i="32" s="1"/>
  <c r="E32" i="32"/>
  <c r="E40" i="32"/>
  <c r="E14" i="32"/>
  <c r="AA14" i="32"/>
  <c r="D14" i="32"/>
  <c r="D26" i="32"/>
  <c r="C26" i="32" s="1"/>
  <c r="W12" i="32"/>
  <c r="E35" i="32"/>
  <c r="E33" i="32"/>
  <c r="BA33" i="32" s="1"/>
  <c r="E25" i="32"/>
  <c r="E17" i="32"/>
  <c r="D34" i="32"/>
  <c r="O12" i="32"/>
  <c r="T18" i="32"/>
  <c r="U42" i="32"/>
  <c r="Q42" i="32"/>
  <c r="D49" i="32"/>
  <c r="Z12" i="32"/>
  <c r="V12" i="32"/>
  <c r="BR12" i="32" s="1"/>
  <c r="R12" i="32"/>
  <c r="D45" i="32"/>
  <c r="L12" i="32"/>
  <c r="D44" i="32"/>
  <c r="L14" i="21" s="1"/>
  <c r="D46" i="32"/>
  <c r="D48" i="32"/>
  <c r="L17" i="21" s="1"/>
  <c r="D50" i="32"/>
  <c r="L20" i="21" s="1"/>
  <c r="D52" i="32"/>
  <c r="F44" i="32"/>
  <c r="J12" i="32"/>
  <c r="D40" i="32"/>
  <c r="D36" i="32"/>
  <c r="C36" i="32" s="1"/>
  <c r="D32" i="32"/>
  <c r="D28" i="32"/>
  <c r="C28" i="32" s="1"/>
  <c r="D24" i="32"/>
  <c r="AZ24" i="32" s="1"/>
  <c r="D20" i="32"/>
  <c r="C20" i="32" s="1"/>
  <c r="D16" i="32"/>
  <c r="C31" i="32"/>
  <c r="S12" i="32"/>
  <c r="BP29" i="32" l="1"/>
  <c r="BP48" i="32"/>
  <c r="BP49" i="32"/>
  <c r="Y21" i="21"/>
  <c r="BI49" i="32"/>
  <c r="C18" i="32"/>
  <c r="AA25" i="32"/>
  <c r="BA30" i="32"/>
  <c r="BP51" i="32"/>
  <c r="BI43" i="32"/>
  <c r="AA47" i="32"/>
  <c r="BI47" i="32"/>
  <c r="AR13" i="32"/>
  <c r="AK13" i="32"/>
  <c r="G36" i="24" s="1"/>
  <c r="BB47" i="32"/>
  <c r="M13" i="32"/>
  <c r="BI13" i="32" s="1"/>
  <c r="D13" i="32"/>
  <c r="T13" i="32"/>
  <c r="AD13" i="32"/>
  <c r="F13" i="32"/>
  <c r="AA23" i="32"/>
  <c r="BP16" i="32"/>
  <c r="BI14" i="32"/>
  <c r="AZ15" i="32"/>
  <c r="AC13" i="32"/>
  <c r="E13" i="32"/>
  <c r="C15" i="32"/>
  <c r="BB23" i="32"/>
  <c r="BP33" i="32"/>
  <c r="AB13" i="32"/>
  <c r="BG12" i="32"/>
  <c r="AA48" i="32"/>
  <c r="AA19" i="32"/>
  <c r="BA39" i="32"/>
  <c r="AA31" i="32"/>
  <c r="AY31" i="32" s="1"/>
  <c r="AA39" i="32"/>
  <c r="AY39" i="32" s="1"/>
  <c r="C33" i="32"/>
  <c r="AA43" i="32"/>
  <c r="AE12" i="32"/>
  <c r="AA29" i="32"/>
  <c r="AY29" i="32" s="1"/>
  <c r="BU12" i="32"/>
  <c r="BB48" i="32"/>
  <c r="C32" i="32"/>
  <c r="AK42" i="32"/>
  <c r="H36" i="24" s="1"/>
  <c r="AA35" i="32"/>
  <c r="C27" i="32"/>
  <c r="AY27" i="32" s="1"/>
  <c r="C22" i="32"/>
  <c r="AY22" i="32" s="1"/>
  <c r="AA49" i="32"/>
  <c r="AA46" i="32"/>
  <c r="T42" i="32"/>
  <c r="AA28" i="32"/>
  <c r="C16" i="32"/>
  <c r="AY16" i="32" s="1"/>
  <c r="C43" i="32"/>
  <c r="C30" i="32"/>
  <c r="BP52" i="32"/>
  <c r="AR42" i="32"/>
  <c r="H37" i="24" s="1"/>
  <c r="BP44" i="32"/>
  <c r="C37" i="32"/>
  <c r="AY37" i="32" s="1"/>
  <c r="AA17" i="32"/>
  <c r="BP19" i="32"/>
  <c r="C52" i="32"/>
  <c r="L19" i="21"/>
  <c r="C46" i="32"/>
  <c r="L16" i="21"/>
  <c r="C45" i="32"/>
  <c r="L15" i="21"/>
  <c r="C49" i="32"/>
  <c r="L18" i="21"/>
  <c r="C17" i="32"/>
  <c r="BA17" i="32"/>
  <c r="C25" i="32"/>
  <c r="BA25" i="32"/>
  <c r="C35" i="32"/>
  <c r="AY35" i="32" s="1"/>
  <c r="BA35" i="32"/>
  <c r="C14" i="32"/>
  <c r="AZ14" i="32"/>
  <c r="C19" i="32"/>
  <c r="BA19" i="32"/>
  <c r="BB21" i="32"/>
  <c r="C21" i="32"/>
  <c r="AY21" i="32" s="1"/>
  <c r="BA21" i="32"/>
  <c r="C23" i="32"/>
  <c r="AY23" i="32" s="1"/>
  <c r="BA23" i="32"/>
  <c r="C47" i="32"/>
  <c r="AY47" i="32" s="1"/>
  <c r="L22" i="21"/>
  <c r="G12" i="32"/>
  <c r="BC12" i="32" s="1"/>
  <c r="BC42" i="32"/>
  <c r="E42" i="32"/>
  <c r="E12" i="32" s="1"/>
  <c r="M14" i="21"/>
  <c r="M20" i="21"/>
  <c r="BA50" i="32"/>
  <c r="C51" i="32"/>
  <c r="L21" i="21"/>
  <c r="M42" i="32"/>
  <c r="BB14" i="32"/>
  <c r="BF13" i="32"/>
  <c r="AA24" i="32"/>
  <c r="BA24" i="32"/>
  <c r="AY25" i="32"/>
  <c r="BA29" i="32"/>
  <c r="AA40" i="32"/>
  <c r="BA40" i="32"/>
  <c r="BB51" i="32"/>
  <c r="BB43" i="32"/>
  <c r="Y18" i="21"/>
  <c r="BA49" i="32"/>
  <c r="Y14" i="21"/>
  <c r="BA44" i="32"/>
  <c r="Y13" i="21"/>
  <c r="BA43" i="32"/>
  <c r="AA45" i="32"/>
  <c r="Y15" i="21"/>
  <c r="BA45" i="32"/>
  <c r="BM42" i="32"/>
  <c r="Y16" i="21"/>
  <c r="BA46" i="32"/>
  <c r="AB42" i="32"/>
  <c r="X22" i="21"/>
  <c r="AZ47" i="32"/>
  <c r="AA52" i="32"/>
  <c r="Y19" i="21"/>
  <c r="BA52" i="32"/>
  <c r="AA20" i="32"/>
  <c r="AY20" i="32" s="1"/>
  <c r="AZ20" i="32"/>
  <c r="BN12" i="32"/>
  <c r="BM13" i="32"/>
  <c r="AA15" i="32"/>
  <c r="BA15" i="32"/>
  <c r="BP14" i="32"/>
  <c r="BP15" i="32"/>
  <c r="AV12" i="32"/>
  <c r="BT12" i="32" s="1"/>
  <c r="BT13" i="32"/>
  <c r="BP18" i="32"/>
  <c r="BP24" i="32"/>
  <c r="BP25" i="32"/>
  <c r="AY28" i="32"/>
  <c r="BP26" i="32"/>
  <c r="BP28" i="32"/>
  <c r="AY26" i="32"/>
  <c r="BP31" i="32"/>
  <c r="BP34" i="32"/>
  <c r="AA32" i="32"/>
  <c r="BA32" i="32"/>
  <c r="BP40" i="32"/>
  <c r="AY36" i="32"/>
  <c r="BP36" i="32"/>
  <c r="AS12" i="32"/>
  <c r="BQ42" i="32"/>
  <c r="AA51" i="32"/>
  <c r="AY51" i="32" s="1"/>
  <c r="X21" i="21"/>
  <c r="AZ51" i="32"/>
  <c r="X20" i="21"/>
  <c r="W20" i="21" s="1"/>
  <c r="AZ50" i="32"/>
  <c r="BP47" i="32"/>
  <c r="Y22" i="21"/>
  <c r="BA47" i="32"/>
  <c r="BP45" i="32"/>
  <c r="BT42" i="32"/>
  <c r="BI52" i="32"/>
  <c r="X19" i="21"/>
  <c r="AZ52" i="32"/>
  <c r="X18" i="21"/>
  <c r="AZ49" i="32"/>
  <c r="Y17" i="21"/>
  <c r="BA48" i="32"/>
  <c r="X17" i="21"/>
  <c r="Q17" i="21" s="1"/>
  <c r="AZ48" i="32"/>
  <c r="BP46" i="32"/>
  <c r="BI46" i="32"/>
  <c r="X16" i="21"/>
  <c r="AZ46" i="32"/>
  <c r="X15" i="21"/>
  <c r="W15" i="21" s="1"/>
  <c r="AZ45" i="32"/>
  <c r="BB44" i="32"/>
  <c r="X14" i="21"/>
  <c r="AZ44" i="32"/>
  <c r="X13" i="21"/>
  <c r="W13" i="21" s="1"/>
  <c r="AZ43" i="32"/>
  <c r="BB40" i="32"/>
  <c r="AY33" i="32"/>
  <c r="AZ32" i="32"/>
  <c r="BA31" i="32"/>
  <c r="AY30" i="32"/>
  <c r="BI29" i="32"/>
  <c r="BB29" i="32"/>
  <c r="BA26" i="32"/>
  <c r="BB24" i="32"/>
  <c r="BA22" i="32"/>
  <c r="BP21" i="32"/>
  <c r="AL12" i="32"/>
  <c r="BJ12" i="32" s="1"/>
  <c r="BJ13" i="32"/>
  <c r="AA18" i="32"/>
  <c r="AY18" i="32" s="1"/>
  <c r="AZ18" i="32"/>
  <c r="AZ16" i="32"/>
  <c r="BI15" i="32"/>
  <c r="BA14" i="32"/>
  <c r="BK12" i="32"/>
  <c r="AO12" i="32"/>
  <c r="AC42" i="32"/>
  <c r="AH12" i="32"/>
  <c r="BF12" i="32" s="1"/>
  <c r="AA44" i="32"/>
  <c r="AD42" i="32"/>
  <c r="C50" i="32"/>
  <c r="AY50" i="32" s="1"/>
  <c r="C48" i="32"/>
  <c r="C44" i="32"/>
  <c r="F42" i="32"/>
  <c r="C38" i="32"/>
  <c r="AY38" i="32" s="1"/>
  <c r="C34" i="32"/>
  <c r="AY34" i="32" s="1"/>
  <c r="C24" i="32"/>
  <c r="C40" i="32"/>
  <c r="Q12" i="32"/>
  <c r="U12" i="32"/>
  <c r="D42" i="32"/>
  <c r="AZ13" i="32"/>
  <c r="AK12" i="32" l="1"/>
  <c r="E35" i="6" s="1"/>
  <c r="M12" i="32"/>
  <c r="AY48" i="32"/>
  <c r="W21" i="21"/>
  <c r="AA13" i="32"/>
  <c r="AY46" i="32"/>
  <c r="AY49" i="32"/>
  <c r="AY19" i="32"/>
  <c r="T12" i="32"/>
  <c r="C13" i="32"/>
  <c r="AY32" i="32"/>
  <c r="AD12" i="32"/>
  <c r="AY15" i="32"/>
  <c r="BA42" i="32"/>
  <c r="BI42" i="32"/>
  <c r="AY14" i="32"/>
  <c r="AY17" i="32"/>
  <c r="AY43" i="32"/>
  <c r="AB12" i="32"/>
  <c r="E11" i="6" s="1"/>
  <c r="F12" i="32"/>
  <c r="AY45" i="32"/>
  <c r="W19" i="21"/>
  <c r="AY52" i="32"/>
  <c r="W14" i="21"/>
  <c r="C42" i="32"/>
  <c r="C12" i="32" s="1"/>
  <c r="W22" i="21"/>
  <c r="W18" i="21"/>
  <c r="BP42" i="32"/>
  <c r="H35" i="24"/>
  <c r="H34" i="24" s="1"/>
  <c r="BB42" i="32"/>
  <c r="AA42" i="32"/>
  <c r="AY44" i="32"/>
  <c r="BM12" i="32"/>
  <c r="BI12" i="32"/>
  <c r="BA13" i="32"/>
  <c r="AR12" i="32"/>
  <c r="G37" i="24"/>
  <c r="F37" i="24" s="1"/>
  <c r="BP13" i="32"/>
  <c r="W17" i="21"/>
  <c r="T17" i="21"/>
  <c r="BQ12" i="32"/>
  <c r="AZ42" i="32"/>
  <c r="W16" i="21"/>
  <c r="AY40" i="32"/>
  <c r="AY24" i="32"/>
  <c r="G35" i="24"/>
  <c r="BB13" i="32"/>
  <c r="AC12" i="32"/>
  <c r="D12" i="32"/>
  <c r="AZ12" i="32" s="1"/>
  <c r="AA12" i="32" l="1"/>
  <c r="BA12" i="32"/>
  <c r="G34" i="24"/>
  <c r="E36" i="6"/>
  <c r="BP12" i="32"/>
  <c r="E34" i="6"/>
  <c r="E33" i="6" s="1"/>
  <c r="BB12" i="32"/>
  <c r="F81" i="30" l="1"/>
  <c r="F80" i="30"/>
  <c r="F78" i="30"/>
  <c r="I76" i="30"/>
  <c r="F76" i="30"/>
  <c r="H76" i="30" s="1"/>
  <c r="F75" i="30"/>
  <c r="I74" i="30"/>
  <c r="F74" i="30"/>
  <c r="D74" i="30"/>
  <c r="I73" i="30"/>
  <c r="F73" i="30"/>
  <c r="D73" i="30"/>
  <c r="I72" i="30"/>
  <c r="F72" i="30"/>
  <c r="D72" i="30"/>
  <c r="I71" i="30"/>
  <c r="D71" i="30"/>
  <c r="H71" i="30" s="1"/>
  <c r="I70" i="30"/>
  <c r="F70" i="30"/>
  <c r="D70" i="30"/>
  <c r="I69" i="30"/>
  <c r="F69" i="30"/>
  <c r="D69" i="30"/>
  <c r="G68" i="30"/>
  <c r="E68" i="30"/>
  <c r="I67" i="30"/>
  <c r="H67" i="30"/>
  <c r="D66" i="30"/>
  <c r="G65" i="30"/>
  <c r="I52" i="30" s="1"/>
  <c r="G64" i="30"/>
  <c r="G63" i="30"/>
  <c r="G61" i="30"/>
  <c r="G60" i="30"/>
  <c r="G59" i="30"/>
  <c r="H57" i="30"/>
  <c r="E57" i="30"/>
  <c r="I56" i="30"/>
  <c r="H56" i="30"/>
  <c r="I55" i="30"/>
  <c r="H55" i="30"/>
  <c r="D54" i="30"/>
  <c r="E54" i="30" s="1"/>
  <c r="G53" i="30"/>
  <c r="D53" i="30"/>
  <c r="E53" i="30" s="1"/>
  <c r="D52" i="30"/>
  <c r="I51" i="30"/>
  <c r="D51" i="30"/>
  <c r="H50" i="30"/>
  <c r="G50" i="30"/>
  <c r="E50" i="30"/>
  <c r="D49" i="30"/>
  <c r="E49" i="30" s="1"/>
  <c r="G47" i="30"/>
  <c r="D47" i="30"/>
  <c r="E47" i="30" s="1"/>
  <c r="D46" i="30"/>
  <c r="E46" i="30" s="1"/>
  <c r="D45" i="30"/>
  <c r="E45" i="30" s="1"/>
  <c r="G44" i="30"/>
  <c r="D44" i="30"/>
  <c r="E44" i="30" s="1"/>
  <c r="E42" i="30"/>
  <c r="G40" i="30"/>
  <c r="D40" i="30"/>
  <c r="D39" i="30"/>
  <c r="G38" i="30"/>
  <c r="D38" i="30"/>
  <c r="E38" i="30" s="1"/>
  <c r="I37" i="30"/>
  <c r="F37" i="30"/>
  <c r="D37" i="30"/>
  <c r="G36" i="30"/>
  <c r="D36" i="30"/>
  <c r="E36" i="30" s="1"/>
  <c r="E35" i="30" s="1"/>
  <c r="D34" i="30"/>
  <c r="E34" i="30" s="1"/>
  <c r="H33" i="30"/>
  <c r="G33" i="30"/>
  <c r="E33" i="30"/>
  <c r="H32" i="30"/>
  <c r="G32" i="30"/>
  <c r="E32" i="30"/>
  <c r="D31" i="30"/>
  <c r="E31" i="30" s="1"/>
  <c r="G30" i="30"/>
  <c r="D30" i="30"/>
  <c r="E30" i="30" s="1"/>
  <c r="G29" i="30"/>
  <c r="D29" i="30"/>
  <c r="E29" i="30" s="1"/>
  <c r="D28" i="30"/>
  <c r="E28" i="30" s="1"/>
  <c r="G26" i="30"/>
  <c r="D26" i="30"/>
  <c r="E26" i="30" s="1"/>
  <c r="G25" i="30"/>
  <c r="D25" i="30"/>
  <c r="E25" i="30" s="1"/>
  <c r="H23" i="30"/>
  <c r="E23" i="30"/>
  <c r="I23" i="30" s="1"/>
  <c r="H22" i="30"/>
  <c r="E22" i="30"/>
  <c r="I22" i="30" s="1"/>
  <c r="G21" i="30"/>
  <c r="D21" i="30"/>
  <c r="E21" i="30" s="1"/>
  <c r="G20" i="30"/>
  <c r="D20" i="30"/>
  <c r="E20" i="30" s="1"/>
  <c r="D19" i="30"/>
  <c r="E19" i="30" s="1"/>
  <c r="H17" i="30"/>
  <c r="E17" i="30"/>
  <c r="I17" i="30" s="1"/>
  <c r="H16" i="30"/>
  <c r="E16" i="30"/>
  <c r="I16" i="30" s="1"/>
  <c r="D15" i="30"/>
  <c r="E15" i="30" s="1"/>
  <c r="D14" i="30"/>
  <c r="E14" i="30" s="1"/>
  <c r="G13" i="30"/>
  <c r="D13" i="30"/>
  <c r="I40" i="30" l="1"/>
  <c r="G78" i="30"/>
  <c r="G77" i="30" s="1"/>
  <c r="F77" i="30"/>
  <c r="E24" i="30"/>
  <c r="G57" i="30"/>
  <c r="I57" i="30" s="1"/>
  <c r="D68" i="30"/>
  <c r="I50" i="30"/>
  <c r="F39" i="30"/>
  <c r="H39" i="30" s="1"/>
  <c r="D12" i="30"/>
  <c r="D35" i="30"/>
  <c r="H35" i="30" s="1"/>
  <c r="D18" i="30"/>
  <c r="E39" i="30"/>
  <c r="F12" i="30"/>
  <c r="G15" i="30"/>
  <c r="I15" i="30" s="1"/>
  <c r="H15" i="30"/>
  <c r="H19" i="30"/>
  <c r="I20" i="30"/>
  <c r="H28" i="30"/>
  <c r="G28" i="30"/>
  <c r="I29" i="30"/>
  <c r="G31" i="30"/>
  <c r="I31" i="30" s="1"/>
  <c r="H31" i="30"/>
  <c r="I32" i="30"/>
  <c r="I33" i="30"/>
  <c r="H34" i="30"/>
  <c r="G34" i="30"/>
  <c r="I34" i="30" s="1"/>
  <c r="I35" i="30"/>
  <c r="H37" i="30"/>
  <c r="H41" i="30"/>
  <c r="G41" i="30"/>
  <c r="G42" i="30"/>
  <c r="I42" i="30" s="1"/>
  <c r="H42" i="30"/>
  <c r="G43" i="30"/>
  <c r="I43" i="30" s="1"/>
  <c r="H43" i="30"/>
  <c r="G45" i="30"/>
  <c r="I45" i="30" s="1"/>
  <c r="H45" i="30"/>
  <c r="H46" i="30"/>
  <c r="I47" i="30"/>
  <c r="H48" i="30"/>
  <c r="G48" i="30"/>
  <c r="I48" i="30" s="1"/>
  <c r="H49" i="30"/>
  <c r="G49" i="30"/>
  <c r="I49" i="30" s="1"/>
  <c r="H51" i="30"/>
  <c r="H52" i="30"/>
  <c r="I53" i="30"/>
  <c r="H54" i="30"/>
  <c r="G54" i="30"/>
  <c r="I54" i="30" s="1"/>
  <c r="H66" i="30"/>
  <c r="E66" i="30"/>
  <c r="I66" i="30" s="1"/>
  <c r="I68" i="30"/>
  <c r="H69" i="30"/>
  <c r="F68" i="30"/>
  <c r="H70" i="30"/>
  <c r="H72" i="30"/>
  <c r="H73" i="30"/>
  <c r="H74" i="30"/>
  <c r="H75" i="30"/>
  <c r="G75" i="30"/>
  <c r="I75" i="30" s="1"/>
  <c r="H80" i="30"/>
  <c r="G80" i="30"/>
  <c r="I80" i="30" s="1"/>
  <c r="H81" i="30"/>
  <c r="G81" i="30"/>
  <c r="I81" i="30" s="1"/>
  <c r="I21" i="30"/>
  <c r="I30" i="30"/>
  <c r="I46" i="30"/>
  <c r="G24" i="30"/>
  <c r="I24" i="30" s="1"/>
  <c r="I25" i="30"/>
  <c r="I26" i="30"/>
  <c r="I38" i="30"/>
  <c r="I44" i="30"/>
  <c r="E27" i="30"/>
  <c r="E18" i="30"/>
  <c r="I28" i="30"/>
  <c r="I36" i="30"/>
  <c r="G14" i="30"/>
  <c r="H21" i="30"/>
  <c r="D24" i="30"/>
  <c r="H26" i="30"/>
  <c r="H30" i="30"/>
  <c r="H36" i="30"/>
  <c r="H44" i="30"/>
  <c r="H53" i="30"/>
  <c r="E13" i="30"/>
  <c r="H13" i="30"/>
  <c r="H20" i="30"/>
  <c r="F24" i="30"/>
  <c r="H25" i="30"/>
  <c r="D27" i="30"/>
  <c r="H29" i="30"/>
  <c r="H38" i="30"/>
  <c r="H47" i="30"/>
  <c r="G19" i="30"/>
  <c r="H14" i="30"/>
  <c r="F18" i="30"/>
  <c r="H18" i="30" s="1"/>
  <c r="F27" i="30"/>
  <c r="H40" i="30"/>
  <c r="I41" i="30" l="1"/>
  <c r="G39" i="30"/>
  <c r="H68" i="30"/>
  <c r="H27" i="30"/>
  <c r="H12" i="30"/>
  <c r="F11" i="30"/>
  <c r="G27" i="30"/>
  <c r="I27" i="30" s="1"/>
  <c r="I39" i="30"/>
  <c r="E12" i="30"/>
  <c r="E11" i="30" s="1"/>
  <c r="E10" i="30" s="1"/>
  <c r="E9" i="30" s="1"/>
  <c r="I13" i="30"/>
  <c r="D11" i="30"/>
  <c r="D10" i="30" s="1"/>
  <c r="D9" i="30" s="1"/>
  <c r="I14" i="30"/>
  <c r="G12" i="30"/>
  <c r="H24" i="30"/>
  <c r="I19" i="30"/>
  <c r="G18" i="30"/>
  <c r="I18" i="30" s="1"/>
  <c r="H77" i="30"/>
  <c r="I77" i="30"/>
  <c r="G11" i="30" l="1"/>
  <c r="G10" i="30" s="1"/>
  <c r="I12" i="30"/>
  <c r="H11" i="30"/>
  <c r="F10" i="30"/>
  <c r="I11" i="30" l="1"/>
  <c r="I10" i="30"/>
  <c r="G9" i="30"/>
  <c r="I9" i="30" s="1"/>
  <c r="F9" i="30"/>
  <c r="H9" i="30" s="1"/>
  <c r="H10" i="30"/>
  <c r="P13" i="21" l="1"/>
  <c r="P14" i="21"/>
  <c r="D112" i="27" l="1"/>
  <c r="C112" i="27"/>
  <c r="E117" i="27"/>
  <c r="E116" i="27"/>
  <c r="E164" i="27"/>
  <c r="C160" i="27"/>
  <c r="C159" i="27" s="1"/>
  <c r="F58" i="24"/>
  <c r="F57" i="24"/>
  <c r="F56" i="24"/>
  <c r="F55" i="24"/>
  <c r="F54" i="24"/>
  <c r="H53" i="24"/>
  <c r="G53" i="24"/>
  <c r="E112" i="27" l="1"/>
  <c r="F53" i="24"/>
  <c r="G25" i="24"/>
  <c r="F27" i="24"/>
  <c r="E51" i="24"/>
  <c r="G51" i="24"/>
  <c r="G50" i="24" s="1"/>
  <c r="G22" i="24" s="1"/>
  <c r="H51" i="24"/>
  <c r="D51" i="24"/>
  <c r="E47" i="7"/>
  <c r="F47" i="7"/>
  <c r="H27" i="24" l="1"/>
  <c r="H25" i="24"/>
  <c r="D13" i="21" l="1"/>
  <c r="E11" i="22" l="1"/>
  <c r="G11" i="22" s="1"/>
  <c r="L11" i="22"/>
  <c r="C36" i="24" l="1"/>
  <c r="C35" i="24"/>
  <c r="C34" i="24" s="1"/>
  <c r="D53" i="24"/>
  <c r="D11" i="24"/>
  <c r="D10" i="24" s="1"/>
  <c r="D9" i="24" s="1"/>
  <c r="C14" i="24"/>
  <c r="C15" i="24"/>
  <c r="C16" i="24"/>
  <c r="C17" i="24"/>
  <c r="C18" i="24"/>
  <c r="C19" i="24"/>
  <c r="C12" i="24"/>
  <c r="C55" i="24"/>
  <c r="C56" i="24"/>
  <c r="C57" i="24"/>
  <c r="C58" i="24"/>
  <c r="C32" i="24"/>
  <c r="C27" i="24"/>
  <c r="C28" i="24"/>
  <c r="C29" i="24"/>
  <c r="C25" i="24"/>
  <c r="C24" i="24"/>
  <c r="E52" i="6"/>
  <c r="D52" i="6"/>
  <c r="E50" i="6"/>
  <c r="D50" i="6"/>
  <c r="F20" i="24"/>
  <c r="D159" i="27" l="1"/>
  <c r="E159" i="27" s="1"/>
  <c r="E138" i="27"/>
  <c r="E132" i="27"/>
  <c r="E131" i="27"/>
  <c r="D130" i="27"/>
  <c r="D129" i="27" s="1"/>
  <c r="C130" i="27"/>
  <c r="C129" i="27" s="1"/>
  <c r="E126" i="27"/>
  <c r="E125" i="27" s="1"/>
  <c r="D125" i="27"/>
  <c r="D124" i="27" s="1"/>
  <c r="C125" i="27"/>
  <c r="C124" i="27" s="1"/>
  <c r="D121" i="27"/>
  <c r="E121" i="27" s="1"/>
  <c r="E111" i="27"/>
  <c r="E104" i="27"/>
  <c r="D103" i="27"/>
  <c r="D102" i="27" s="1"/>
  <c r="C103" i="27"/>
  <c r="C102" i="27" s="1"/>
  <c r="D99" i="27"/>
  <c r="D95" i="27"/>
  <c r="D91" i="27"/>
  <c r="D89" i="27"/>
  <c r="D65" i="27"/>
  <c r="E65" i="27" s="1"/>
  <c r="D11" i="27"/>
  <c r="C101" i="27" l="1"/>
  <c r="C9" i="27" s="1"/>
  <c r="E11" i="27"/>
  <c r="E89" i="27"/>
  <c r="E91" i="27"/>
  <c r="E95" i="27"/>
  <c r="E113" i="27"/>
  <c r="E124" i="27"/>
  <c r="D118" i="27"/>
  <c r="E102" i="27"/>
  <c r="E129" i="27"/>
  <c r="E103" i="27"/>
  <c r="D74" i="27"/>
  <c r="E74" i="27" s="1"/>
  <c r="E130" i="27"/>
  <c r="E9" i="31"/>
  <c r="D10" i="27" l="1"/>
  <c r="E118" i="27"/>
  <c r="D101" i="27"/>
  <c r="E101" i="27" s="1"/>
  <c r="G26" i="24"/>
  <c r="D9" i="27" l="1"/>
  <c r="E9" i="27" s="1"/>
  <c r="E10" i="27"/>
  <c r="Y20" i="22"/>
  <c r="X20" i="22"/>
  <c r="O20" i="22"/>
  <c r="L20" i="22"/>
  <c r="T20" i="22" s="1"/>
  <c r="E20" i="22"/>
  <c r="Y19" i="22"/>
  <c r="X19" i="22"/>
  <c r="O19" i="22"/>
  <c r="L19" i="22"/>
  <c r="T19" i="22" s="1"/>
  <c r="E19" i="22"/>
  <c r="Y18" i="22"/>
  <c r="X18" i="22"/>
  <c r="L18" i="22"/>
  <c r="T18" i="22" s="1"/>
  <c r="E18" i="22"/>
  <c r="Y17" i="22"/>
  <c r="X17" i="22"/>
  <c r="O17" i="22"/>
  <c r="L17" i="22"/>
  <c r="T17" i="22" s="1"/>
  <c r="E17" i="22"/>
  <c r="Y16" i="22"/>
  <c r="X16" i="22"/>
  <c r="O16" i="22"/>
  <c r="L16" i="22"/>
  <c r="T16" i="22" s="1"/>
  <c r="E16" i="22"/>
  <c r="Y15" i="22"/>
  <c r="X15" i="22"/>
  <c r="O15" i="22"/>
  <c r="L15" i="22"/>
  <c r="T15" i="22" s="1"/>
  <c r="E15" i="22"/>
  <c r="Y14" i="22"/>
  <c r="X14" i="22"/>
  <c r="O14" i="22"/>
  <c r="L14" i="22"/>
  <c r="T14" i="22" s="1"/>
  <c r="E14" i="22"/>
  <c r="Y13" i="22"/>
  <c r="X13" i="22"/>
  <c r="O13" i="22"/>
  <c r="T13" i="22"/>
  <c r="E13" i="22"/>
  <c r="Y12" i="22"/>
  <c r="X12" i="22"/>
  <c r="O12" i="22"/>
  <c r="L12" i="22"/>
  <c r="T12" i="22" s="1"/>
  <c r="E12" i="22"/>
  <c r="Y11" i="22"/>
  <c r="X11" i="22"/>
  <c r="C11" i="22"/>
  <c r="R10" i="22"/>
  <c r="Q10" i="22"/>
  <c r="P10" i="22"/>
  <c r="N10" i="22"/>
  <c r="J10" i="22"/>
  <c r="I10" i="22"/>
  <c r="H10" i="22"/>
  <c r="F10" i="22"/>
  <c r="D10" i="22"/>
  <c r="AD22" i="21"/>
  <c r="AC22" i="21"/>
  <c r="P22" i="21"/>
  <c r="K22" i="21"/>
  <c r="AD21" i="21"/>
  <c r="AC21" i="21"/>
  <c r="P21" i="21"/>
  <c r="K21" i="21"/>
  <c r="AD20" i="21"/>
  <c r="AC20" i="21"/>
  <c r="P20" i="21"/>
  <c r="K20" i="21"/>
  <c r="AD19" i="21"/>
  <c r="P19" i="21"/>
  <c r="K19" i="21"/>
  <c r="AD18" i="21"/>
  <c r="AC18" i="21"/>
  <c r="K18" i="21"/>
  <c r="AD17" i="21"/>
  <c r="AC17" i="21"/>
  <c r="P17" i="21"/>
  <c r="K17" i="21"/>
  <c r="AC16" i="21"/>
  <c r="P16" i="21"/>
  <c r="AD16" i="21"/>
  <c r="K16" i="21"/>
  <c r="AD15" i="21"/>
  <c r="AC15" i="21"/>
  <c r="P15" i="21"/>
  <c r="K15" i="21"/>
  <c r="AD14" i="21"/>
  <c r="AC14" i="21"/>
  <c r="K14" i="21"/>
  <c r="T12" i="21"/>
  <c r="AC13" i="21"/>
  <c r="K13" i="21"/>
  <c r="Z12" i="21"/>
  <c r="X12" i="21"/>
  <c r="V12" i="21"/>
  <c r="U12" i="21"/>
  <c r="S12" i="21"/>
  <c r="R12" i="21"/>
  <c r="O12" i="21"/>
  <c r="N12" i="21"/>
  <c r="M12" i="21"/>
  <c r="L12" i="21"/>
  <c r="J12" i="21"/>
  <c r="I12" i="21"/>
  <c r="H12" i="21"/>
  <c r="G12" i="21"/>
  <c r="F12" i="21"/>
  <c r="E12" i="21"/>
  <c r="D12" i="21"/>
  <c r="O10" i="22" l="1"/>
  <c r="C13" i="21"/>
  <c r="AE13" i="21"/>
  <c r="C14" i="21"/>
  <c r="AB14" i="21" s="1"/>
  <c r="AE14" i="21"/>
  <c r="C15" i="21"/>
  <c r="AB15" i="21" s="1"/>
  <c r="AE15" i="21"/>
  <c r="C16" i="21"/>
  <c r="AB16" i="21" s="1"/>
  <c r="AE16" i="21"/>
  <c r="C17" i="21"/>
  <c r="AE17" i="21"/>
  <c r="C18" i="21"/>
  <c r="AE18" i="21"/>
  <c r="C19" i="21"/>
  <c r="AB19" i="21" s="1"/>
  <c r="AE19" i="21"/>
  <c r="C20" i="21"/>
  <c r="AB20" i="21" s="1"/>
  <c r="AE20" i="21"/>
  <c r="C21" i="21"/>
  <c r="AB21" i="21" s="1"/>
  <c r="AE21" i="21"/>
  <c r="C22" i="21"/>
  <c r="AB22" i="21" s="1"/>
  <c r="AE22" i="21"/>
  <c r="K12" i="21"/>
  <c r="C19" i="22"/>
  <c r="G19" i="22"/>
  <c r="W19" i="22" s="1"/>
  <c r="C16" i="22"/>
  <c r="G16" i="22"/>
  <c r="W16" i="22" s="1"/>
  <c r="W11" i="22"/>
  <c r="M11" i="22"/>
  <c r="K11" i="22" s="1"/>
  <c r="S11" i="22" s="1"/>
  <c r="C13" i="22"/>
  <c r="G13" i="22"/>
  <c r="W13" i="22" s="1"/>
  <c r="C18" i="22"/>
  <c r="G18" i="22"/>
  <c r="W18" i="22" s="1"/>
  <c r="C15" i="22"/>
  <c r="G15" i="22"/>
  <c r="W15" i="22" s="1"/>
  <c r="C12" i="22"/>
  <c r="G12" i="22"/>
  <c r="C20" i="22"/>
  <c r="G20" i="22"/>
  <c r="W20" i="22" s="1"/>
  <c r="C17" i="22"/>
  <c r="G17" i="22"/>
  <c r="W17" i="22" s="1"/>
  <c r="C14" i="22"/>
  <c r="G14" i="22"/>
  <c r="W14" i="22" s="1"/>
  <c r="M17" i="22"/>
  <c r="K17" i="22" s="1"/>
  <c r="M16" i="22"/>
  <c r="K16" i="22" s="1"/>
  <c r="U15" i="22"/>
  <c r="M18" i="22"/>
  <c r="U18" i="22" s="1"/>
  <c r="X10" i="22"/>
  <c r="Y12" i="21"/>
  <c r="K15" i="22"/>
  <c r="M19" i="22"/>
  <c r="K19" i="22" s="1"/>
  <c r="M20" i="22"/>
  <c r="K20" i="22" s="1"/>
  <c r="AC19" i="21"/>
  <c r="M14" i="22"/>
  <c r="K14" i="22" s="1"/>
  <c r="AD12" i="21"/>
  <c r="AA12" i="21"/>
  <c r="L10" i="22"/>
  <c r="T10" i="22" s="1"/>
  <c r="M12" i="22"/>
  <c r="M13" i="22"/>
  <c r="K13" i="22" s="1"/>
  <c r="S13" i="22" s="1"/>
  <c r="E10" i="22"/>
  <c r="C10" i="22" s="1"/>
  <c r="Y10" i="22"/>
  <c r="T11" i="22"/>
  <c r="AB17" i="21"/>
  <c r="P18" i="21"/>
  <c r="P12" i="21" s="1"/>
  <c r="W12" i="21"/>
  <c r="Q12" i="21"/>
  <c r="AD13" i="21"/>
  <c r="S20" i="22" l="1"/>
  <c r="AC12" i="21"/>
  <c r="U16" i="22"/>
  <c r="AB18" i="21"/>
  <c r="AE12" i="21"/>
  <c r="C12" i="21"/>
  <c r="S16" i="22"/>
  <c r="S14" i="22"/>
  <c r="S15" i="22"/>
  <c r="U11" i="22"/>
  <c r="U20" i="22"/>
  <c r="S19" i="22"/>
  <c r="S17" i="22"/>
  <c r="G10" i="22"/>
  <c r="W10" i="22" s="1"/>
  <c r="W12" i="22"/>
  <c r="U17" i="22"/>
  <c r="U13" i="22"/>
  <c r="U14" i="22"/>
  <c r="K18" i="22"/>
  <c r="S18" i="22" s="1"/>
  <c r="U12" i="22"/>
  <c r="K12" i="22"/>
  <c r="U19" i="22"/>
  <c r="M10" i="22"/>
  <c r="U10" i="22" s="1"/>
  <c r="AB13" i="21"/>
  <c r="AB12" i="21" l="1"/>
  <c r="K10" i="22"/>
  <c r="S12" i="22"/>
  <c r="AY42" i="32"/>
  <c r="S10" i="22" l="1"/>
  <c r="AY13" i="32"/>
  <c r="AY12" i="32"/>
  <c r="C13" i="7" l="1"/>
  <c r="C12" i="7" s="1"/>
  <c r="E24" i="7"/>
  <c r="F24" i="7"/>
  <c r="F38" i="31" l="1"/>
  <c r="G38" i="31"/>
  <c r="E31" i="31"/>
  <c r="D31" i="31"/>
  <c r="G31" i="31" s="1"/>
  <c r="E30" i="31"/>
  <c r="D30" i="31"/>
  <c r="G30" i="31" l="1"/>
  <c r="F30" i="31"/>
  <c r="F31" i="31"/>
  <c r="E36" i="31" l="1"/>
  <c r="E37" i="31"/>
  <c r="D37" i="31"/>
  <c r="D36" i="31"/>
  <c r="E32" i="31"/>
  <c r="E26" i="31"/>
  <c r="E27" i="31"/>
  <c r="E28" i="31"/>
  <c r="E29" i="31"/>
  <c r="D34" i="31"/>
  <c r="G45" i="31" l="1"/>
  <c r="F45" i="31"/>
  <c r="G44" i="31"/>
  <c r="F44" i="31"/>
  <c r="G43" i="31"/>
  <c r="F43" i="31"/>
  <c r="G42" i="31"/>
  <c r="G41" i="31"/>
  <c r="F41" i="31"/>
  <c r="G40" i="31"/>
  <c r="F40" i="31"/>
  <c r="G39" i="31"/>
  <c r="G37" i="31"/>
  <c r="F37" i="31"/>
  <c r="G36" i="31"/>
  <c r="F36" i="31"/>
  <c r="G32" i="31"/>
  <c r="F32" i="31"/>
  <c r="G29" i="31"/>
  <c r="F29" i="31"/>
  <c r="G28" i="31"/>
  <c r="F28" i="31"/>
  <c r="G27" i="31"/>
  <c r="F27" i="31"/>
  <c r="G26" i="31"/>
  <c r="F26" i="31"/>
  <c r="G20" i="31"/>
  <c r="F20" i="31"/>
  <c r="G19" i="31"/>
  <c r="F19" i="31"/>
  <c r="G18" i="31"/>
  <c r="F18" i="31"/>
  <c r="G17" i="31"/>
  <c r="F17" i="31"/>
  <c r="G16" i="31"/>
  <c r="F16" i="31"/>
  <c r="G15" i="31"/>
  <c r="F15" i="31"/>
  <c r="G14" i="31"/>
  <c r="F14" i="31"/>
  <c r="G13" i="31"/>
  <c r="F13" i="31"/>
  <c r="E12" i="31"/>
  <c r="E8" i="31" s="1"/>
  <c r="D12" i="31"/>
  <c r="G11" i="31"/>
  <c r="F11" i="31"/>
  <c r="G10" i="31"/>
  <c r="F10" i="31"/>
  <c r="D9" i="31"/>
  <c r="F9" i="31" l="1"/>
  <c r="D8" i="31"/>
  <c r="F8" i="31" s="1"/>
  <c r="F12" i="31"/>
  <c r="F42" i="31"/>
  <c r="G9" i="31"/>
  <c r="G12" i="31"/>
  <c r="F39" i="31"/>
  <c r="G8" i="31" l="1"/>
  <c r="F60" i="24"/>
  <c r="H59" i="24" l="1"/>
  <c r="H60" i="24"/>
  <c r="H50" i="24"/>
  <c r="H38" i="24" s="1"/>
  <c r="F31" i="24"/>
  <c r="E31" i="24"/>
  <c r="I31" i="24"/>
  <c r="F30" i="24"/>
  <c r="H30" i="24" s="1"/>
  <c r="F29" i="24"/>
  <c r="F26" i="24"/>
  <c r="F15" i="24"/>
  <c r="F14" i="24"/>
  <c r="H14" i="24" s="1"/>
  <c r="H26" i="24" l="1"/>
  <c r="H29" i="24"/>
  <c r="H32" i="24"/>
  <c r="H31" i="24"/>
  <c r="J31" i="24"/>
  <c r="K31" i="24" l="1"/>
  <c r="F29" i="6"/>
  <c r="G38" i="24" l="1"/>
  <c r="AH45" i="29" l="1"/>
  <c r="AE45" i="29"/>
  <c r="AD45" i="29" s="1"/>
  <c r="AA45" i="29"/>
  <c r="X45" i="29"/>
  <c r="W45" i="29" s="1"/>
  <c r="Q45" i="29"/>
  <c r="N45" i="29"/>
  <c r="J45" i="29"/>
  <c r="G45" i="29"/>
  <c r="AH44" i="29"/>
  <c r="AE44" i="29"/>
  <c r="AD44" i="29" s="1"/>
  <c r="AA44" i="29"/>
  <c r="X44" i="29"/>
  <c r="Q44" i="29"/>
  <c r="N44" i="29"/>
  <c r="J44" i="29"/>
  <c r="G44" i="29"/>
  <c r="AH43" i="29"/>
  <c r="AE43" i="29"/>
  <c r="AD43" i="29" s="1"/>
  <c r="AA43" i="29"/>
  <c r="X43" i="29"/>
  <c r="U43" i="29" s="1"/>
  <c r="Q43" i="29"/>
  <c r="N43" i="29"/>
  <c r="J43" i="29"/>
  <c r="G43" i="29"/>
  <c r="AH42" i="29"/>
  <c r="AE42" i="29"/>
  <c r="AD42" i="29" s="1"/>
  <c r="AA42" i="29"/>
  <c r="X42" i="29"/>
  <c r="Q42" i="29"/>
  <c r="N42" i="29"/>
  <c r="M42" i="29" s="1"/>
  <c r="J42" i="29"/>
  <c r="G42" i="29"/>
  <c r="AH41" i="29"/>
  <c r="AE41" i="29"/>
  <c r="AA41" i="29"/>
  <c r="X41" i="29"/>
  <c r="W41" i="29" s="1"/>
  <c r="Q41" i="29"/>
  <c r="N41" i="29"/>
  <c r="J41" i="29"/>
  <c r="G41" i="29"/>
  <c r="AH40" i="29"/>
  <c r="AE40" i="29"/>
  <c r="AA40" i="29"/>
  <c r="X40" i="29"/>
  <c r="W40" i="29" s="1"/>
  <c r="Q40" i="29"/>
  <c r="N40" i="29"/>
  <c r="J40" i="29"/>
  <c r="G40" i="29"/>
  <c r="AH39" i="29"/>
  <c r="AE39" i="29"/>
  <c r="AA39" i="29"/>
  <c r="X39" i="29"/>
  <c r="Q39" i="29"/>
  <c r="N39" i="29"/>
  <c r="J39" i="29"/>
  <c r="G39" i="29"/>
  <c r="AH38" i="29"/>
  <c r="AE38" i="29"/>
  <c r="AD38" i="29" s="1"/>
  <c r="AA38" i="29"/>
  <c r="X38" i="29"/>
  <c r="Q38" i="29"/>
  <c r="N38" i="29"/>
  <c r="J38" i="29"/>
  <c r="G38" i="29"/>
  <c r="AH37" i="29"/>
  <c r="AE37" i="29"/>
  <c r="AA37" i="29"/>
  <c r="X37" i="29"/>
  <c r="Q37" i="29"/>
  <c r="N37" i="29"/>
  <c r="J37" i="29"/>
  <c r="G37" i="29"/>
  <c r="AH36" i="29"/>
  <c r="AH35" i="29" s="1"/>
  <c r="AE36" i="29"/>
  <c r="AD36" i="29" s="1"/>
  <c r="AA36" i="29"/>
  <c r="X36" i="29"/>
  <c r="X35" i="29" s="1"/>
  <c r="Q36" i="29"/>
  <c r="N36" i="29"/>
  <c r="J36" i="29"/>
  <c r="G36" i="29"/>
  <c r="G35" i="29" s="1"/>
  <c r="AJ35" i="29"/>
  <c r="AI35" i="29"/>
  <c r="AG35" i="29"/>
  <c r="AF35" i="29"/>
  <c r="AE35" i="29"/>
  <c r="AC35" i="29"/>
  <c r="AB35" i="29"/>
  <c r="AA35" i="29"/>
  <c r="Z35" i="29"/>
  <c r="Y35" i="29"/>
  <c r="S35" i="29"/>
  <c r="R35" i="29"/>
  <c r="Q35" i="29"/>
  <c r="P35" i="29"/>
  <c r="O35" i="29"/>
  <c r="N35" i="29"/>
  <c r="L35" i="29"/>
  <c r="K35" i="29"/>
  <c r="J35" i="29"/>
  <c r="I35" i="29"/>
  <c r="H35" i="29"/>
  <c r="AH34" i="29"/>
  <c r="V34" i="29" s="1"/>
  <c r="AE34" i="29"/>
  <c r="X34" i="29"/>
  <c r="W34" i="29" s="1"/>
  <c r="Q34" i="29"/>
  <c r="N34" i="29"/>
  <c r="J34" i="29"/>
  <c r="G34" i="29"/>
  <c r="AH33" i="29"/>
  <c r="V33" i="29" s="1"/>
  <c r="AE33" i="29"/>
  <c r="X33" i="29"/>
  <c r="W33" i="29" s="1"/>
  <c r="Q33" i="29"/>
  <c r="N33" i="29"/>
  <c r="J33" i="29"/>
  <c r="G33" i="29"/>
  <c r="AH32" i="29"/>
  <c r="V32" i="29" s="1"/>
  <c r="AE32" i="29"/>
  <c r="X32" i="29"/>
  <c r="Q32" i="29"/>
  <c r="N32" i="29"/>
  <c r="J32" i="29"/>
  <c r="G32" i="29"/>
  <c r="AH31" i="29"/>
  <c r="V31" i="29" s="1"/>
  <c r="AE31" i="29"/>
  <c r="X31" i="29"/>
  <c r="W31" i="29" s="1"/>
  <c r="Q31" i="29"/>
  <c r="N31" i="29"/>
  <c r="J31" i="29"/>
  <c r="G31" i="29"/>
  <c r="AH30" i="29"/>
  <c r="V30" i="29" s="1"/>
  <c r="AE30" i="29"/>
  <c r="X30" i="29"/>
  <c r="W30" i="29" s="1"/>
  <c r="Q30" i="29"/>
  <c r="N30" i="29"/>
  <c r="J30" i="29"/>
  <c r="E30" i="29" s="1"/>
  <c r="G30" i="29"/>
  <c r="AH29" i="29"/>
  <c r="V29" i="29" s="1"/>
  <c r="AE29" i="29"/>
  <c r="X29" i="29"/>
  <c r="W29" i="29" s="1"/>
  <c r="Q29" i="29"/>
  <c r="N29" i="29"/>
  <c r="J29" i="29"/>
  <c r="G29" i="29"/>
  <c r="AH28" i="29"/>
  <c r="V28" i="29" s="1"/>
  <c r="AE28" i="29"/>
  <c r="X28" i="29"/>
  <c r="W28" i="29" s="1"/>
  <c r="Q28" i="29"/>
  <c r="N28" i="29"/>
  <c r="J28" i="29"/>
  <c r="G28" i="29"/>
  <c r="AH27" i="29"/>
  <c r="V27" i="29" s="1"/>
  <c r="AE27" i="29"/>
  <c r="X27" i="29"/>
  <c r="W27" i="29" s="1"/>
  <c r="Q27" i="29"/>
  <c r="N27" i="29"/>
  <c r="J27" i="29"/>
  <c r="G27" i="29"/>
  <c r="AH26" i="29"/>
  <c r="V26" i="29" s="1"/>
  <c r="AE26" i="29"/>
  <c r="X26" i="29"/>
  <c r="W26" i="29" s="1"/>
  <c r="Q26" i="29"/>
  <c r="N26" i="29"/>
  <c r="J26" i="29"/>
  <c r="G26" i="29"/>
  <c r="AH25" i="29"/>
  <c r="V25" i="29" s="1"/>
  <c r="AE25" i="29"/>
  <c r="X25" i="29"/>
  <c r="W25" i="29" s="1"/>
  <c r="Q25" i="29"/>
  <c r="N25" i="29"/>
  <c r="J25" i="29"/>
  <c r="G25" i="29"/>
  <c r="AH24" i="29"/>
  <c r="V24" i="29" s="1"/>
  <c r="AE24" i="29"/>
  <c r="X24" i="29"/>
  <c r="W24" i="29" s="1"/>
  <c r="Q24" i="29"/>
  <c r="N24" i="29"/>
  <c r="J24" i="29"/>
  <c r="G24" i="29"/>
  <c r="AH23" i="29"/>
  <c r="AE23" i="29"/>
  <c r="AA23" i="29"/>
  <c r="X23" i="29"/>
  <c r="Q23" i="29"/>
  <c r="N23" i="29"/>
  <c r="J23" i="29"/>
  <c r="G23" i="29"/>
  <c r="AH22" i="29"/>
  <c r="AE22" i="29"/>
  <c r="AA22" i="29"/>
  <c r="X22" i="29"/>
  <c r="Q22" i="29"/>
  <c r="N22" i="29"/>
  <c r="J22" i="29"/>
  <c r="G22" i="29"/>
  <c r="AH21" i="29"/>
  <c r="AE21" i="29"/>
  <c r="AA21" i="29"/>
  <c r="X21" i="29"/>
  <c r="Q21" i="29"/>
  <c r="N21" i="29"/>
  <c r="J21" i="29"/>
  <c r="G21" i="29"/>
  <c r="AH20" i="29"/>
  <c r="AE20" i="29"/>
  <c r="AA20" i="29"/>
  <c r="X20" i="29"/>
  <c r="Q20" i="29"/>
  <c r="N20" i="29"/>
  <c r="J20" i="29"/>
  <c r="G20" i="29"/>
  <c r="AH19" i="29"/>
  <c r="AE19" i="29"/>
  <c r="AA19" i="29"/>
  <c r="X19" i="29"/>
  <c r="Q19" i="29"/>
  <c r="N19" i="29"/>
  <c r="J19" i="29"/>
  <c r="G19" i="29"/>
  <c r="AH18" i="29"/>
  <c r="AE18" i="29"/>
  <c r="AA18" i="29"/>
  <c r="X18" i="29"/>
  <c r="Q18" i="29"/>
  <c r="N18" i="29"/>
  <c r="J18" i="29"/>
  <c r="G18" i="29"/>
  <c r="AH17" i="29"/>
  <c r="AE17" i="29"/>
  <c r="AA17" i="29"/>
  <c r="X17" i="29"/>
  <c r="Q17" i="29"/>
  <c r="N17" i="29"/>
  <c r="J17" i="29"/>
  <c r="G17" i="29"/>
  <c r="AH16" i="29"/>
  <c r="AE16" i="29"/>
  <c r="AA16" i="29"/>
  <c r="X16" i="29"/>
  <c r="Q16" i="29"/>
  <c r="N16" i="29"/>
  <c r="J16" i="29"/>
  <c r="G16" i="29"/>
  <c r="AH15" i="29"/>
  <c r="AE15" i="29"/>
  <c r="AA15" i="29"/>
  <c r="X15" i="29"/>
  <c r="W15" i="29" s="1"/>
  <c r="Q15" i="29"/>
  <c r="N15" i="29"/>
  <c r="J15" i="29"/>
  <c r="G15" i="29"/>
  <c r="AH14" i="29"/>
  <c r="AE14" i="29"/>
  <c r="AA14" i="29"/>
  <c r="X14" i="29"/>
  <c r="Q14" i="29"/>
  <c r="Q13" i="29" s="1"/>
  <c r="Q12" i="29" s="1"/>
  <c r="N14" i="29"/>
  <c r="J14" i="29"/>
  <c r="G14" i="29"/>
  <c r="AJ13" i="29"/>
  <c r="AJ12" i="29" s="1"/>
  <c r="AI13" i="29"/>
  <c r="AI12" i="29" s="1"/>
  <c r="AG13" i="29"/>
  <c r="AG12" i="29" s="1"/>
  <c r="AF13" i="29"/>
  <c r="AC13" i="29"/>
  <c r="AC12" i="29" s="1"/>
  <c r="AB13" i="29"/>
  <c r="Z13" i="29"/>
  <c r="Y13" i="29"/>
  <c r="S13" i="29"/>
  <c r="S12" i="29" s="1"/>
  <c r="R13" i="29"/>
  <c r="R12" i="29" s="1"/>
  <c r="P13" i="29"/>
  <c r="O13" i="29"/>
  <c r="L13" i="29"/>
  <c r="L12" i="29" s="1"/>
  <c r="K13" i="29"/>
  <c r="K12" i="29" s="1"/>
  <c r="I13" i="29"/>
  <c r="I12" i="29" s="1"/>
  <c r="H13" i="29"/>
  <c r="H12" i="29" s="1"/>
  <c r="Z12" i="29"/>
  <c r="Y12" i="29"/>
  <c r="AF12" i="29" l="1"/>
  <c r="F17" i="29"/>
  <c r="G13" i="29"/>
  <c r="G12" i="29" s="1"/>
  <c r="E28" i="29"/>
  <c r="M29" i="29"/>
  <c r="O12" i="29"/>
  <c r="F19" i="29"/>
  <c r="AD28" i="29"/>
  <c r="M33" i="29"/>
  <c r="AD31" i="29"/>
  <c r="F14" i="29"/>
  <c r="F33" i="29"/>
  <c r="E24" i="29"/>
  <c r="M22" i="29"/>
  <c r="E31" i="29"/>
  <c r="W14" i="29"/>
  <c r="F29" i="29"/>
  <c r="AD34" i="29"/>
  <c r="E32" i="29"/>
  <c r="E34" i="29"/>
  <c r="F27" i="29"/>
  <c r="U45" i="29"/>
  <c r="M15" i="29"/>
  <c r="E26" i="29"/>
  <c r="U30" i="29"/>
  <c r="U32" i="29"/>
  <c r="T32" i="29" s="1"/>
  <c r="U34" i="29"/>
  <c r="M26" i="29"/>
  <c r="U28" i="29"/>
  <c r="AD32" i="29"/>
  <c r="U15" i="29"/>
  <c r="U20" i="29"/>
  <c r="D36" i="29"/>
  <c r="V20" i="29"/>
  <c r="E36" i="29"/>
  <c r="E37" i="29"/>
  <c r="J13" i="29"/>
  <c r="J12" i="29" s="1"/>
  <c r="P12" i="29"/>
  <c r="AB12" i="29"/>
  <c r="M40" i="29"/>
  <c r="AD21" i="29"/>
  <c r="W39" i="29"/>
  <c r="M44" i="29"/>
  <c r="AD24" i="29"/>
  <c r="AD29" i="29"/>
  <c r="N13" i="29"/>
  <c r="N12" i="29" s="1"/>
  <c r="M16" i="29"/>
  <c r="E21" i="29"/>
  <c r="F26" i="29"/>
  <c r="D27" i="29"/>
  <c r="E33" i="29"/>
  <c r="AD40" i="29"/>
  <c r="AA13" i="29"/>
  <c r="AA12" i="29" s="1"/>
  <c r="W16" i="29"/>
  <c r="W18" i="29"/>
  <c r="M24" i="29"/>
  <c r="M31" i="29"/>
  <c r="M37" i="29"/>
  <c r="E40" i="29"/>
  <c r="E42" i="29"/>
  <c r="X13" i="29"/>
  <c r="X12" i="29" s="1"/>
  <c r="W37" i="29"/>
  <c r="W38" i="29"/>
  <c r="U39" i="29"/>
  <c r="M41" i="29"/>
  <c r="M38" i="29"/>
  <c r="F15" i="29"/>
  <c r="U18" i="29"/>
  <c r="E19" i="29"/>
  <c r="W32" i="29"/>
  <c r="F36" i="29"/>
  <c r="AD41" i="29"/>
  <c r="W43" i="29"/>
  <c r="M14" i="29"/>
  <c r="F16" i="29"/>
  <c r="M20" i="29"/>
  <c r="F23" i="29"/>
  <c r="F24" i="29"/>
  <c r="F31" i="29"/>
  <c r="D17" i="29"/>
  <c r="AD37" i="29"/>
  <c r="W20" i="29"/>
  <c r="F25" i="29"/>
  <c r="AD27" i="29"/>
  <c r="U41" i="29"/>
  <c r="AD19" i="29"/>
  <c r="W23" i="29"/>
  <c r="AD39" i="29"/>
  <c r="V36" i="29"/>
  <c r="U37" i="29"/>
  <c r="E44" i="29"/>
  <c r="AH13" i="29"/>
  <c r="AH12" i="29" s="1"/>
  <c r="D19" i="29"/>
  <c r="AD23" i="29"/>
  <c r="E29" i="29"/>
  <c r="AD30" i="29"/>
  <c r="M39" i="29"/>
  <c r="W42" i="29"/>
  <c r="E14" i="29"/>
  <c r="E15" i="29"/>
  <c r="E16" i="29"/>
  <c r="AE13" i="29"/>
  <c r="AE12" i="29" s="1"/>
  <c r="E18" i="29"/>
  <c r="E20" i="29"/>
  <c r="W22" i="29"/>
  <c r="V23" i="29"/>
  <c r="U24" i="29"/>
  <c r="M28" i="29"/>
  <c r="U29" i="29"/>
  <c r="T29" i="29" s="1"/>
  <c r="M30" i="29"/>
  <c r="U31" i="29"/>
  <c r="T31" i="29" s="1"/>
  <c r="M32" i="29"/>
  <c r="U33" i="29"/>
  <c r="T33" i="29" s="1"/>
  <c r="M34" i="29"/>
  <c r="E39" i="29"/>
  <c r="E41" i="29"/>
  <c r="M43" i="29"/>
  <c r="W44" i="29"/>
  <c r="M45" i="29"/>
  <c r="AD33" i="29"/>
  <c r="AD17" i="29"/>
  <c r="V19" i="29"/>
  <c r="M21" i="29"/>
  <c r="AD22" i="29"/>
  <c r="U14" i="29"/>
  <c r="AD15" i="29"/>
  <c r="U16" i="29"/>
  <c r="V17" i="29"/>
  <c r="M19" i="29"/>
  <c r="AD20" i="29"/>
  <c r="D23" i="29"/>
  <c r="D25" i="29"/>
  <c r="AD25" i="29"/>
  <c r="U26" i="29"/>
  <c r="T26" i="29" s="1"/>
  <c r="E43" i="29"/>
  <c r="E45" i="29"/>
  <c r="E17" i="29"/>
  <c r="V18" i="29"/>
  <c r="E22" i="29"/>
  <c r="E27" i="29"/>
  <c r="F28" i="29"/>
  <c r="F30" i="29"/>
  <c r="F32" i="29"/>
  <c r="F34" i="29"/>
  <c r="M36" i="29"/>
  <c r="M17" i="29"/>
  <c r="AD18" i="29"/>
  <c r="D21" i="29"/>
  <c r="U22" i="29"/>
  <c r="M27" i="29"/>
  <c r="U38" i="29"/>
  <c r="U40" i="29"/>
  <c r="U42" i="29"/>
  <c r="U44" i="29"/>
  <c r="T44" i="29" s="1"/>
  <c r="V16" i="29"/>
  <c r="M18" i="29"/>
  <c r="F21" i="29"/>
  <c r="E23" i="29"/>
  <c r="E25" i="29"/>
  <c r="AD26" i="29"/>
  <c r="AD14" i="29"/>
  <c r="AD16" i="29"/>
  <c r="V21" i="29"/>
  <c r="M23" i="29"/>
  <c r="M25" i="29"/>
  <c r="W17" i="29"/>
  <c r="U17" i="29"/>
  <c r="F18" i="29"/>
  <c r="D18" i="29"/>
  <c r="W19" i="29"/>
  <c r="U19" i="29"/>
  <c r="F20" i="29"/>
  <c r="D20" i="29"/>
  <c r="W21" i="29"/>
  <c r="U21" i="29"/>
  <c r="F22" i="29"/>
  <c r="D22" i="29"/>
  <c r="V22" i="29"/>
  <c r="T34" i="29"/>
  <c r="D14" i="29"/>
  <c r="V14" i="29"/>
  <c r="D15" i="29"/>
  <c r="C15" i="29" s="1"/>
  <c r="V15" i="29"/>
  <c r="D16" i="29"/>
  <c r="T24" i="29"/>
  <c r="F38" i="29"/>
  <c r="D38" i="29"/>
  <c r="V38" i="29"/>
  <c r="F40" i="29"/>
  <c r="D40" i="29"/>
  <c r="C40" i="29" s="1"/>
  <c r="V40" i="29"/>
  <c r="F42" i="29"/>
  <c r="D42" i="29"/>
  <c r="C42" i="29" s="1"/>
  <c r="V42" i="29"/>
  <c r="F44" i="29"/>
  <c r="D44" i="29"/>
  <c r="C44" i="29" s="1"/>
  <c r="V44" i="29"/>
  <c r="U23" i="29"/>
  <c r="D24" i="29"/>
  <c r="C24" i="29" s="1"/>
  <c r="U25" i="29"/>
  <c r="T25" i="29" s="1"/>
  <c r="D26" i="29"/>
  <c r="U27" i="29"/>
  <c r="T27" i="29" s="1"/>
  <c r="D28" i="29"/>
  <c r="C28" i="29" s="1"/>
  <c r="T28" i="29"/>
  <c r="D29" i="29"/>
  <c r="D30" i="29"/>
  <c r="C30" i="29" s="1"/>
  <c r="T30" i="29"/>
  <c r="D31" i="29"/>
  <c r="C31" i="29" s="1"/>
  <c r="D32" i="29"/>
  <c r="C32" i="29" s="1"/>
  <c r="D33" i="29"/>
  <c r="C33" i="29" s="1"/>
  <c r="D34" i="29"/>
  <c r="C34" i="29" s="1"/>
  <c r="U36" i="29"/>
  <c r="W36" i="29"/>
  <c r="F37" i="29"/>
  <c r="D37" i="29"/>
  <c r="V37" i="29"/>
  <c r="E38" i="29"/>
  <c r="F39" i="29"/>
  <c r="D39" i="29"/>
  <c r="C39" i="29" s="1"/>
  <c r="V39" i="29"/>
  <c r="F41" i="29"/>
  <c r="D41" i="29"/>
  <c r="V41" i="29"/>
  <c r="F43" i="29"/>
  <c r="D43" i="29"/>
  <c r="V43" i="29"/>
  <c r="F45" i="29"/>
  <c r="D45" i="29"/>
  <c r="V45" i="29"/>
  <c r="T37" i="29" l="1"/>
  <c r="T23" i="29"/>
  <c r="C27" i="29"/>
  <c r="T20" i="29"/>
  <c r="C19" i="29"/>
  <c r="T42" i="29"/>
  <c r="C26" i="29"/>
  <c r="C45" i="29"/>
  <c r="C41" i="29"/>
  <c r="C20" i="29"/>
  <c r="T40" i="29"/>
  <c r="T18" i="29"/>
  <c r="C36" i="29"/>
  <c r="C25" i="29"/>
  <c r="T38" i="29"/>
  <c r="C21" i="29"/>
  <c r="C43" i="29"/>
  <c r="C16" i="29"/>
  <c r="C18" i="29"/>
  <c r="M35" i="29"/>
  <c r="C29" i="29"/>
  <c r="C22" i="29"/>
  <c r="E35" i="29"/>
  <c r="AD35" i="29"/>
  <c r="T16" i="29"/>
  <c r="T22" i="29"/>
  <c r="AD13" i="29"/>
  <c r="M13" i="29"/>
  <c r="M12" i="29" s="1"/>
  <c r="E13" i="29"/>
  <c r="C23" i="29"/>
  <c r="F13" i="29"/>
  <c r="T21" i="29"/>
  <c r="C17" i="29"/>
  <c r="T19" i="29"/>
  <c r="C37" i="29"/>
  <c r="D35" i="29"/>
  <c r="T36" i="29"/>
  <c r="U35" i="29"/>
  <c r="T45" i="29"/>
  <c r="T41" i="29"/>
  <c r="T39" i="29"/>
  <c r="V13" i="29"/>
  <c r="W13" i="29"/>
  <c r="AD12" i="29"/>
  <c r="T14" i="29"/>
  <c r="V35" i="29"/>
  <c r="F35" i="29"/>
  <c r="F12" i="29" s="1"/>
  <c r="W35" i="29"/>
  <c r="T43" i="29"/>
  <c r="C38" i="29"/>
  <c r="D13" i="29"/>
  <c r="C14" i="29"/>
  <c r="T17" i="29"/>
  <c r="U13" i="29"/>
  <c r="U12" i="29" s="1"/>
  <c r="T15" i="29"/>
  <c r="E12" i="29" l="1"/>
  <c r="C13" i="29"/>
  <c r="D12" i="29"/>
  <c r="T13" i="29"/>
  <c r="W12" i="29"/>
  <c r="C35" i="29"/>
  <c r="C12" i="29" s="1"/>
  <c r="V12" i="29"/>
  <c r="T35" i="29"/>
  <c r="T12" i="29" l="1"/>
  <c r="J29" i="24" l="1"/>
  <c r="D50" i="24" l="1"/>
  <c r="D38" i="24" s="1"/>
  <c r="D33" i="24" s="1"/>
  <c r="C60" i="24"/>
  <c r="C59" i="24"/>
  <c r="K55" i="24"/>
  <c r="E30" i="24"/>
  <c r="C22" i="24"/>
  <c r="E21" i="24"/>
  <c r="J55" i="24"/>
  <c r="E39" i="7"/>
  <c r="F44" i="7"/>
  <c r="E44" i="7"/>
  <c r="D8" i="24" l="1"/>
  <c r="F39" i="7"/>
  <c r="C28" i="7"/>
  <c r="C11" i="7" s="1"/>
  <c r="I55" i="24"/>
  <c r="C51" i="24" l="1"/>
  <c r="F51" i="6"/>
  <c r="D10" i="6" l="1"/>
  <c r="F55" i="6"/>
  <c r="D23" i="31" l="1"/>
  <c r="D22" i="31" s="1"/>
  <c r="I60" i="24" l="1"/>
  <c r="J60" i="24"/>
  <c r="K60" i="24"/>
  <c r="E20" i="24" l="1"/>
  <c r="E11" i="24" s="1"/>
  <c r="E10" i="24" l="1"/>
  <c r="E9" i="24" s="1"/>
  <c r="C11" i="24"/>
  <c r="E49" i="7"/>
  <c r="F49" i="7"/>
  <c r="J13" i="24" l="1"/>
  <c r="J14" i="24"/>
  <c r="J15" i="24"/>
  <c r="I16" i="24"/>
  <c r="J16" i="24"/>
  <c r="K16" i="24"/>
  <c r="J17" i="24"/>
  <c r="J18" i="24"/>
  <c r="K18" i="24"/>
  <c r="J20" i="24"/>
  <c r="I21" i="24"/>
  <c r="J21" i="24"/>
  <c r="I23" i="24"/>
  <c r="J23" i="24"/>
  <c r="K23" i="24"/>
  <c r="J25" i="24"/>
  <c r="J26" i="24"/>
  <c r="J27" i="24"/>
  <c r="I28" i="24"/>
  <c r="J28" i="24"/>
  <c r="J30" i="24"/>
  <c r="J32" i="24"/>
  <c r="K32" i="24"/>
  <c r="J52" i="24"/>
  <c r="J53" i="24"/>
  <c r="J54" i="24"/>
  <c r="J56" i="24"/>
  <c r="J57" i="24"/>
  <c r="K57" i="24"/>
  <c r="J58" i="24"/>
  <c r="I59" i="24"/>
  <c r="J59" i="24"/>
  <c r="K59" i="24"/>
  <c r="H15" i="24" l="1"/>
  <c r="K15" i="24" l="1"/>
  <c r="I27" i="24"/>
  <c r="J36" i="24" l="1"/>
  <c r="J12" i="24" l="1"/>
  <c r="I15" i="24" l="1"/>
  <c r="I18" i="24"/>
  <c r="I25" i="24"/>
  <c r="I30" i="24" l="1"/>
  <c r="I32" i="24" l="1"/>
  <c r="J11" i="24"/>
  <c r="F48" i="7" l="1"/>
  <c r="F45" i="7"/>
  <c r="E45" i="7"/>
  <c r="F43" i="7"/>
  <c r="E43" i="7"/>
  <c r="F42" i="7"/>
  <c r="E42" i="7"/>
  <c r="F41" i="7"/>
  <c r="E41" i="7"/>
  <c r="E30" i="7"/>
  <c r="F30" i="7"/>
  <c r="E31" i="7"/>
  <c r="F31" i="7"/>
  <c r="E32" i="7"/>
  <c r="F32" i="7"/>
  <c r="E33" i="7"/>
  <c r="F33" i="7"/>
  <c r="E34" i="7"/>
  <c r="F34" i="7"/>
  <c r="E35" i="7"/>
  <c r="F35" i="7"/>
  <c r="E37" i="7"/>
  <c r="F37" i="7"/>
  <c r="E38" i="7"/>
  <c r="F38" i="7"/>
  <c r="E40" i="7"/>
  <c r="F40" i="7"/>
  <c r="F29" i="7"/>
  <c r="E29" i="7"/>
  <c r="F27" i="7"/>
  <c r="E27" i="7"/>
  <c r="F26" i="7"/>
  <c r="E26" i="7"/>
  <c r="F10" i="7"/>
  <c r="E10" i="7"/>
  <c r="F25" i="7"/>
  <c r="E25" i="7"/>
  <c r="E23" i="7"/>
  <c r="F22" i="7"/>
  <c r="E22" i="7"/>
  <c r="F21" i="7"/>
  <c r="E21" i="7"/>
  <c r="F20" i="7"/>
  <c r="E20" i="7"/>
  <c r="F19" i="7"/>
  <c r="E19" i="7"/>
  <c r="F18" i="7"/>
  <c r="E18" i="7"/>
  <c r="F17" i="7"/>
  <c r="E17" i="7"/>
  <c r="F16" i="7"/>
  <c r="E16" i="7"/>
  <c r="F15" i="7"/>
  <c r="E15" i="7"/>
  <c r="F14" i="7"/>
  <c r="E14" i="7"/>
  <c r="F41" i="6"/>
  <c r="F42" i="6"/>
  <c r="F44" i="6"/>
  <c r="F45" i="6"/>
  <c r="F46" i="6"/>
  <c r="F47" i="6"/>
  <c r="F40" i="6" l="1"/>
  <c r="F43" i="6"/>
  <c r="F23" i="7"/>
  <c r="F48" i="6" l="1"/>
  <c r="F12" i="6"/>
  <c r="F14" i="6"/>
  <c r="F15" i="6"/>
  <c r="F16" i="6"/>
  <c r="F17" i="6"/>
  <c r="F19" i="6"/>
  <c r="F20" i="6"/>
  <c r="F22" i="6"/>
  <c r="F24" i="6"/>
  <c r="F25" i="6"/>
  <c r="F26" i="6"/>
  <c r="F27" i="6"/>
  <c r="F28" i="6"/>
  <c r="F30" i="6"/>
  <c r="F31" i="6"/>
  <c r="F58" i="6"/>
  <c r="F59" i="6"/>
  <c r="F12" i="24" l="1"/>
  <c r="H12" i="24" s="1"/>
  <c r="E10" i="6"/>
  <c r="E24" i="31" s="1"/>
  <c r="F39" i="24"/>
  <c r="F11" i="24" l="1"/>
  <c r="G24" i="31"/>
  <c r="F24" i="31"/>
  <c r="I58" i="24"/>
  <c r="K58" i="24"/>
  <c r="K56" i="24"/>
  <c r="F52" i="24"/>
  <c r="F50" i="6"/>
  <c r="K51" i="24"/>
  <c r="K30" i="24"/>
  <c r="K28" i="24"/>
  <c r="K27" i="24"/>
  <c r="K25" i="24"/>
  <c r="K21" i="24"/>
  <c r="F51" i="24" l="1"/>
  <c r="F53" i="6"/>
  <c r="J51" i="24"/>
  <c r="J24" i="24"/>
  <c r="I56" i="24"/>
  <c r="I57" i="24"/>
  <c r="F54" i="6"/>
  <c r="F50" i="24" l="1"/>
  <c r="I51" i="24"/>
  <c r="K39" i="24"/>
  <c r="E49" i="6" l="1"/>
  <c r="E21" i="6" s="1"/>
  <c r="J50" i="24"/>
  <c r="E9" i="6" l="1"/>
  <c r="F22" i="24"/>
  <c r="H22" i="24" s="1"/>
  <c r="F23" i="6"/>
  <c r="E37" i="6"/>
  <c r="F38" i="24" s="1"/>
  <c r="E25" i="31" l="1"/>
  <c r="F10" i="24"/>
  <c r="E23" i="31"/>
  <c r="G25" i="31"/>
  <c r="F25" i="31"/>
  <c r="F23" i="31" s="1"/>
  <c r="K24" i="24"/>
  <c r="F9" i="24" l="1"/>
  <c r="E22" i="31"/>
  <c r="G23" i="31"/>
  <c r="I24" i="24"/>
  <c r="G22" i="31" l="1"/>
  <c r="F22" i="31"/>
  <c r="J35" i="24"/>
  <c r="G33" i="24" l="1"/>
  <c r="F35" i="24"/>
  <c r="J34" i="24" l="1"/>
  <c r="F21" i="6"/>
  <c r="F34" i="6"/>
  <c r="F36" i="24"/>
  <c r="H33" i="24"/>
  <c r="F34" i="24" l="1"/>
  <c r="F35" i="6"/>
  <c r="I22" i="24" l="1"/>
  <c r="E32" i="6" l="1"/>
  <c r="E35" i="31" s="1"/>
  <c r="E34" i="31"/>
  <c r="F34" i="31" l="1"/>
  <c r="G34" i="31"/>
  <c r="E33" i="31"/>
  <c r="E21" i="31" s="1"/>
  <c r="K14" i="24" l="1"/>
  <c r="F13" i="6" l="1"/>
  <c r="I14" i="24"/>
  <c r="F13" i="7" l="1"/>
  <c r="E13" i="7"/>
  <c r="C9" i="7" l="1"/>
  <c r="F12" i="7"/>
  <c r="E12" i="7"/>
  <c r="F33" i="6" l="1"/>
  <c r="D9" i="6"/>
  <c r="D49" i="6" l="1"/>
  <c r="D8" i="6"/>
  <c r="E8" i="1"/>
  <c r="E7" i="1"/>
  <c r="E6" i="1"/>
  <c r="E5" i="1"/>
  <c r="F23" i="1"/>
  <c r="E24" i="1" s="1"/>
  <c r="E25" i="1" s="1"/>
  <c r="E26" i="1" s="1"/>
  <c r="E27" i="1" s="1"/>
  <c r="E18" i="1"/>
  <c r="E16" i="1"/>
  <c r="E17" i="1"/>
  <c r="E15" i="1"/>
  <c r="G15" i="1"/>
  <c r="G16" i="1"/>
  <c r="G17" i="1"/>
  <c r="G18" i="1"/>
  <c r="G14" i="1"/>
  <c r="C50" i="24" l="1"/>
  <c r="D37" i="6"/>
  <c r="I50" i="24"/>
  <c r="F52" i="6"/>
  <c r="F49" i="6"/>
  <c r="F4" i="1"/>
  <c r="F14" i="1"/>
  <c r="H15" i="1"/>
  <c r="H18" i="1"/>
  <c r="H16" i="1"/>
  <c r="H17" i="1"/>
  <c r="I16" i="1" l="1"/>
  <c r="D32" i="6" l="1"/>
  <c r="D7" i="6" s="1"/>
  <c r="D33" i="31" l="1"/>
  <c r="F35" i="31"/>
  <c r="G35" i="31"/>
  <c r="J39" i="24"/>
  <c r="D21" i="31" l="1"/>
  <c r="G33" i="31"/>
  <c r="F33" i="31"/>
  <c r="J38" i="24"/>
  <c r="G21" i="31" l="1"/>
  <c r="F21" i="31"/>
  <c r="I39" i="24"/>
  <c r="F33" i="24"/>
  <c r="F39" i="6"/>
  <c r="J33" i="24" l="1"/>
  <c r="F11" i="6"/>
  <c r="F38" i="6"/>
  <c r="F10" i="6" l="1"/>
  <c r="F37" i="6"/>
  <c r="E8" i="6" l="1"/>
  <c r="F9" i="6"/>
  <c r="F32" i="6"/>
  <c r="E7" i="6" l="1"/>
  <c r="F8" i="24" s="1"/>
  <c r="F8" i="6"/>
  <c r="K36" i="24"/>
  <c r="K35" i="24"/>
  <c r="I35" i="24"/>
  <c r="F7" i="6" l="1"/>
  <c r="I36" i="24"/>
  <c r="K20" i="24"/>
  <c r="I20" i="24" l="1"/>
  <c r="K12" i="24" l="1"/>
  <c r="I12" i="24"/>
  <c r="K17" i="24" l="1"/>
  <c r="I17" i="24"/>
  <c r="F21" i="24" l="1"/>
  <c r="H11" i="24"/>
  <c r="C26" i="24" l="1"/>
  <c r="I26" i="24" s="1"/>
  <c r="K26" i="24"/>
  <c r="E53" i="24"/>
  <c r="C53" i="24" s="1"/>
  <c r="I53" i="24" s="1"/>
  <c r="C54" i="24"/>
  <c r="I54" i="24" s="1"/>
  <c r="K54" i="24"/>
  <c r="K53" i="24" l="1"/>
  <c r="E50" i="24"/>
  <c r="C9" i="24"/>
  <c r="I9" i="24" s="1"/>
  <c r="C10" i="24"/>
  <c r="I10" i="24" s="1"/>
  <c r="I11" i="24"/>
  <c r="K11" i="24"/>
  <c r="C13" i="24"/>
  <c r="I13" i="24" s="1"/>
  <c r="K13" i="24"/>
  <c r="K50" i="24" l="1"/>
  <c r="E38" i="24"/>
  <c r="E33" i="24" s="1"/>
  <c r="C33" i="24" l="1"/>
  <c r="I33" i="24" s="1"/>
  <c r="E8" i="24"/>
  <c r="K33" i="24"/>
  <c r="K38" i="24"/>
  <c r="C38" i="24"/>
  <c r="I38" i="24" s="1"/>
  <c r="C52" i="24"/>
  <c r="I52" i="24" s="1"/>
  <c r="K52" i="24"/>
  <c r="I34" i="24"/>
  <c r="K34" i="24"/>
  <c r="C8" i="24" l="1"/>
  <c r="I8" i="24" s="1"/>
  <c r="E36" i="7" l="1"/>
  <c r="E28" i="7" s="1"/>
  <c r="F36" i="7"/>
  <c r="J22" i="24" l="1"/>
  <c r="G10" i="24"/>
  <c r="F28" i="7"/>
  <c r="F11" i="7" l="1"/>
  <c r="E11" i="7"/>
  <c r="E9" i="7" s="1"/>
  <c r="G9" i="24"/>
  <c r="J10" i="24"/>
  <c r="H10" i="24"/>
  <c r="K22" i="24"/>
  <c r="G8" i="24" l="1"/>
  <c r="H9" i="24"/>
  <c r="K9" i="24" s="1"/>
  <c r="F9" i="7"/>
  <c r="K10" i="24"/>
  <c r="J9" i="24"/>
  <c r="H8" i="24" l="1"/>
  <c r="J8" i="24"/>
  <c r="K8" i="24" l="1"/>
</calcChain>
</file>

<file path=xl/comments1.xml><?xml version="1.0" encoding="utf-8"?>
<comments xmlns="http://schemas.openxmlformats.org/spreadsheetml/2006/main">
  <authors>
    <author>Author</author>
  </authors>
  <commentList>
    <comment ref="A120" authorId="0" shapeId="0">
      <text>
        <r>
          <rPr>
            <b/>
            <sz val="9"/>
            <color indexed="81"/>
            <rFont val="Tahoma"/>
            <family val="2"/>
          </rPr>
          <t xml:space="preserve">Author:
</t>
        </r>
      </text>
    </comment>
    <comment ref="A121" authorId="0" shape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A118" authorId="0" shapeId="0">
      <text>
        <r>
          <rPr>
            <b/>
            <sz val="9"/>
            <color indexed="81"/>
            <rFont val="Tahoma"/>
            <family val="2"/>
          </rPr>
          <t xml:space="preserve">Author:
</t>
        </r>
      </text>
    </comment>
    <comment ref="A119" authorId="0" shapeId="0">
      <text>
        <r>
          <rPr>
            <b/>
            <sz val="9"/>
            <color indexed="81"/>
            <rFont val="Tahoma"/>
            <family val="2"/>
          </rPr>
          <t xml:space="preserve">Author:
</t>
        </r>
      </text>
    </comment>
  </commentList>
</comments>
</file>

<file path=xl/sharedStrings.xml><?xml version="1.0" encoding="utf-8"?>
<sst xmlns="http://schemas.openxmlformats.org/spreadsheetml/2006/main" count="1976" uniqueCount="864">
  <si>
    <t>Thu nội địa</t>
  </si>
  <si>
    <t>tỷ lệ thu tiền sd đất trong tổng thu NSNN</t>
  </si>
  <si>
    <t>2016-2020</t>
  </si>
  <si>
    <t>Giai đoạn</t>
  </si>
  <si>
    <t>2021-2025</t>
  </si>
  <si>
    <t>tốc độ tăng tỷ lệ tiền sd đất trong tổng thu NSNN</t>
  </si>
  <si>
    <t>Tỷ lệ tăng thu NSNN nội địa so với năm liền kề</t>
  </si>
  <si>
    <t>Tốc độ tăng trưởng bình quân thu nội địa (%)</t>
  </si>
  <si>
    <t>Chênh lệch tăng so với giai đoạn liền trước</t>
  </si>
  <si>
    <t>2026-2031</t>
  </si>
  <si>
    <t>2031-2035</t>
  </si>
  <si>
    <t>2036-2040</t>
  </si>
  <si>
    <t>2041-2045</t>
  </si>
  <si>
    <t>Tốc độ tăng trưởng trung bình giai đoạn</t>
  </si>
  <si>
    <t>Năm</t>
  </si>
  <si>
    <t>Giai đoạn 2016-2020</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</si>
  <si>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</si>
  <si>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</si>
  <si>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</si>
  <si>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</si>
  <si>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</si>
  <si>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</si>
  <si>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</si>
  <si>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</si>
  <si>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</si>
  <si>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</si>
  <si>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</si>
  <si>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</si>
  <si>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</si>
  <si>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</si>
  <si>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</si>
  <si>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</si>
  <si>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</si>
  <si>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</si>
  <si>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</si>
  <si>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</si>
  <si>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</si>
  <si>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</si>
  <si>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</si>
  <si>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</si>
  <si>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V</t>
  </si>
  <si>
    <t>Thu chuyển nguồn từ năm trước chuyển sang</t>
  </si>
  <si>
    <t>TỔNG CHI NSĐP</t>
  </si>
  <si>
    <t>Chi đầu tư phát triển</t>
  </si>
  <si>
    <t>Chi thường xuyên</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</si>
  <si>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</si>
  <si>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</si>
  <si>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</si>
  <si>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</si>
  <si>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</si>
  <si>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</si>
  <si>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C</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</si>
  <si>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</si>
  <si>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</si>
  <si>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</si>
  <si>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</si>
  <si>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</si>
  <si>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</si>
  <si>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</si>
  <si>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</si>
  <si>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</si>
  <si>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</si>
  <si>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Đơn vị: Triệu đồng</t>
  </si>
  <si>
    <t>Nội dung</t>
  </si>
  <si>
    <t>So sánh (%)</t>
  </si>
  <si>
    <t>Tổng thu NSNN</t>
  </si>
  <si>
    <t>Thu NSĐP</t>
  </si>
  <si>
    <t>5=3/1</t>
  </si>
  <si>
    <t>6=4/2</t>
  </si>
  <si>
    <t>TỔNG NGUỒN THU NSNN (A+B+C+D)</t>
  </si>
  <si>
    <t>TỔNG THU CÂN ĐỐI NSNN</t>
  </si>
  <si>
    <t>Thu từ khu vực DNNN do trung ương quản lý (1)</t>
  </si>
  <si>
    <t>(Chi tiết theo sắc thuế)</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</si>
  <si>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</si>
  <si>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</si>
  <si>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</si>
  <si>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</si>
  <si>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</si>
  <si>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Lệ phí trước bạ</t>
  </si>
  <si>
    <t xml:space="preserve">Thu phí, lệ phí </t>
  </si>
  <si>
    <t>Phí và lệ phí trung 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</si>
  <si>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</si>
  <si>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</si>
  <si>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</si>
  <si>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</si>
  <si>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</si>
  <si>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</si>
  <si>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</si>
  <si>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</si>
  <si>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</si>
  <si>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</si>
  <si>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</si>
  <si>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</si>
  <si>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</si>
  <si>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</si>
  <si>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</si>
  <si>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</si>
  <si>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</si>
  <si>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</si>
  <si>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</si>
  <si>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</si>
  <si>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</si>
  <si>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</si>
  <si>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</si>
  <si>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</si>
  <si>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</si>
  <si>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</si>
  <si>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</si>
  <si>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</si>
  <si>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</si>
  <si>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</si>
  <si>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</si>
  <si>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</si>
  <si>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</si>
  <si>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</si>
  <si>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</si>
  <si>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</si>
  <si>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</si>
  <si>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</si>
  <si>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</si>
  <si>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</si>
  <si>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</si>
  <si>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</si>
  <si>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</si>
  <si>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</si>
  <si>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</si>
  <si>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</si>
  <si>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 xml:space="preserve">Chi các chương trình mục tiêu, nhiệm vụ </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</si>
  <si>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</si>
  <si>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</si>
  <si>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</si>
  <si>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</si>
  <si>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</si>
  <si>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</si>
  <si>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</si>
  <si>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</si>
  <si>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</si>
  <si>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</si>
  <si>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</si>
  <si>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</si>
  <si>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</si>
  <si>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khoa học và công nghệ (2)</t>
  </si>
  <si>
    <t>Chi thường xuyên khác</t>
  </si>
  <si>
    <t>Chi bổ sung quỹ dự trữ tài chính (2)</t>
  </si>
  <si>
    <t>(2) Theo quy định tại Điều 7, Điều 11 và Điều 39 Luật NSNN, ngân sách huyện, xã không có nhiệm vụ chi nghiên cứu khoa học và công nghệ, chi trả lãi vay, chi bổ sung quỹ dự trữ tài chính.</t>
  </si>
  <si>
    <t>Bao gồm</t>
  </si>
  <si>
    <t>Ngân sách địa phương</t>
  </si>
  <si>
    <t>1=2+3</t>
  </si>
  <si>
    <t>4=5+6</t>
  </si>
  <si>
    <t>7=4/1</t>
  </si>
  <si>
    <t>8=5/2</t>
  </si>
  <si>
    <t>9=6/3</t>
  </si>
  <si>
    <t>CHI CÂN ĐỐI NSĐP</t>
  </si>
  <si>
    <t>Tổng số</t>
  </si>
  <si>
    <t>…</t>
  </si>
  <si>
    <t>TỔNG SỐ</t>
  </si>
  <si>
    <t>CÁC CƠ QUAN, TỔ CHỨC</t>
  </si>
  <si>
    <t>VII</t>
  </si>
  <si>
    <t>Chi CTMTQG</t>
  </si>
  <si>
    <t>Trong đó</t>
  </si>
  <si>
    <t>Chi giáo dục đào tạo dạy nghề</t>
  </si>
  <si>
    <t>Chi khoa học và công nghệ (3)</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</si>
  <si>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</si>
  <si>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</si>
  <si>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</si>
  <si>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</si>
  <si>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</si>
  <si>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</si>
  <si>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</si>
  <si>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</si>
  <si>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</si>
  <si>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</si>
  <si>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</si>
  <si>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</si>
  <si>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</si>
  <si>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</si>
  <si>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</si>
  <si>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</si>
  <si>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</si>
  <si>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</si>
  <si>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</si>
  <si>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</si>
  <si>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</si>
  <si>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Đầu tư phát triển</t>
  </si>
  <si>
    <t>Kinh phí sự nghiệp</t>
  </si>
  <si>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</si>
  <si>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</si>
  <si>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</si>
  <si>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</si>
  <si>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</si>
  <si>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</si>
  <si>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</si>
  <si>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</si>
  <si>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</si>
  <si>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</si>
  <si>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</si>
  <si>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</si>
  <si>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</si>
  <si>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</si>
  <si>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</si>
  <si>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</si>
  <si>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</si>
  <si>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</si>
  <si>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</si>
  <si>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</si>
  <si>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Chương trình MTQG NTM</t>
  </si>
  <si>
    <t>Chương trình MTQG giảm nghèo bền vững</t>
  </si>
  <si>
    <t>II.1</t>
  </si>
  <si>
    <t>Bổ sung vốn đầu tư</t>
  </si>
  <si>
    <t>Vốn nước ngoài</t>
  </si>
  <si>
    <t>II.2</t>
  </si>
  <si>
    <t xml:space="preserve">Bổ sung mục tiêu vốn sự nghiệp </t>
  </si>
  <si>
    <t>1.4</t>
  </si>
  <si>
    <t>5.1</t>
  </si>
  <si>
    <t>5.2</t>
  </si>
  <si>
    <t>5.3</t>
  </si>
  <si>
    <t>6.1</t>
  </si>
  <si>
    <t>Sở Kế hoạch và Đầu tư</t>
  </si>
  <si>
    <t>Sở Nông nghiệp và PTNT</t>
  </si>
  <si>
    <t>Sở Văn hóa, Thể thao và Du lịch</t>
  </si>
  <si>
    <t>Sở Y tế</t>
  </si>
  <si>
    <t>Sở Giáo dục và Đào tạo</t>
  </si>
  <si>
    <t>Ban quản lý các dự án 98</t>
  </si>
  <si>
    <t>UBND huyện Ia H'Drai</t>
  </si>
  <si>
    <t>Sự nghiệp kinh tế</t>
  </si>
  <si>
    <t>Sự nghiệp y tế</t>
  </si>
  <si>
    <t>Sự nghiệp giáo dục</t>
  </si>
  <si>
    <t>Sở Nội vụ</t>
  </si>
  <si>
    <t>Ban Dân tộc</t>
  </si>
  <si>
    <t>Sở Tài chính</t>
  </si>
  <si>
    <t>VP Uỷ ban nhân dân tỉnh</t>
  </si>
  <si>
    <t>Uỷ ban mặt trận tổ quốc</t>
  </si>
  <si>
    <t>Công an tỉnh</t>
  </si>
  <si>
    <t>Hội khuyến học</t>
  </si>
  <si>
    <t>Ban liên lạc tù chính trị</t>
  </si>
  <si>
    <t>Hội nhà báo</t>
  </si>
  <si>
    <t>Hội Cựu Thanh niên xung phong</t>
  </si>
  <si>
    <t>Hội Văn học Nghệ thuật</t>
  </si>
  <si>
    <t>Hội liên lạc người Việt Nam ở nước ngoài</t>
  </si>
  <si>
    <t>Hội Luật gia</t>
  </si>
  <si>
    <t xml:space="preserve">Hội chữ thập đỏ </t>
  </si>
  <si>
    <t>Hội Cựu giáo chức</t>
  </si>
  <si>
    <t>Đoàn Luật sư</t>
  </si>
  <si>
    <t>Tòa án nhân dân tỉnh</t>
  </si>
  <si>
    <t>1</t>
  </si>
  <si>
    <t>2</t>
  </si>
  <si>
    <t>3</t>
  </si>
  <si>
    <t>4</t>
  </si>
  <si>
    <t>5</t>
  </si>
  <si>
    <t>6</t>
  </si>
  <si>
    <t>7</t>
  </si>
  <si>
    <t>8</t>
  </si>
  <si>
    <t>8.1</t>
  </si>
  <si>
    <t>8.2</t>
  </si>
  <si>
    <t>8.3</t>
  </si>
  <si>
    <t>9</t>
  </si>
  <si>
    <t>10</t>
  </si>
  <si>
    <t>11</t>
  </si>
  <si>
    <t>12</t>
  </si>
  <si>
    <t>13</t>
  </si>
  <si>
    <t>14</t>
  </si>
  <si>
    <t>15</t>
  </si>
  <si>
    <t>Dự án phát triển khu vực biên giới tỉnh Kon Tum - Đầu tư nâng cấp Tỉnh lộ 675A</t>
  </si>
  <si>
    <t>Ban quản lý dự án đầu tư xây dựng các công trình Nông nghiệp và PTNT</t>
  </si>
  <si>
    <t>Ban quản lý khai thác các công trình thủy lợi</t>
  </si>
  <si>
    <t>UBND thành phố Kon Tum</t>
  </si>
  <si>
    <t>Chi ngân sách cấp tỉnh</t>
  </si>
  <si>
    <t>Sở Xây dựng</t>
  </si>
  <si>
    <t>Sở Tư pháp</t>
  </si>
  <si>
    <t>16</t>
  </si>
  <si>
    <t>17</t>
  </si>
  <si>
    <t>Chi khác ngân sách</t>
  </si>
  <si>
    <t>Chi dự phòng</t>
  </si>
  <si>
    <t>UBND huyện Tu Mơ Rông</t>
  </si>
  <si>
    <t>UBND huyện Đăk Glei</t>
  </si>
  <si>
    <t>UBND huyện Sa Thầy</t>
  </si>
  <si>
    <t>Huyện Kon Rẫy</t>
  </si>
  <si>
    <t>Văn phòng Điều phối NTM tỉnh</t>
  </si>
  <si>
    <t>Hội Nông dân tỉnh</t>
  </si>
  <si>
    <t>Hội Liên hiệp Phụ nữ tỉnh</t>
  </si>
  <si>
    <t xml:space="preserve">Sở Nông nghiệp và PTNT </t>
  </si>
  <si>
    <t>Tỉnh đoàn</t>
  </si>
  <si>
    <t>Liên minh Hợp tác xã tỉnh</t>
  </si>
  <si>
    <t>Trường Cao đẳng Cộng đồng Kon Tum</t>
  </si>
  <si>
    <t>Công ty TNHH MTV Lâm nghiệp Kon Rẫy</t>
  </si>
  <si>
    <t>Công ty TNHH MTV Lâm nghiệp Sa Thầy</t>
  </si>
  <si>
    <t>Công ty TNHH MTV Lâm nghiệp Ngọc Hồi</t>
  </si>
  <si>
    <t>Công ty TNHH MTV Lâm nghiệp Đăk Tô</t>
  </si>
  <si>
    <t>Công ty TNHH MTV Lâm nghiệp Ia H'Drai</t>
  </si>
  <si>
    <t>Sở Thông tin truyền thông</t>
  </si>
  <si>
    <t>BQL rừng phòng hộ Đăk Glei</t>
  </si>
  <si>
    <t>BQL rừng phòng hộ Thạch Nham</t>
  </si>
  <si>
    <t>BQL rừng đặc dụng Đăk Uy</t>
  </si>
  <si>
    <t>Chi Cục Kiểm lâm</t>
  </si>
  <si>
    <t>Thành phố Kon Tum</t>
  </si>
  <si>
    <t>Huyện Đăk Hà</t>
  </si>
  <si>
    <t>Huyện Đăk Tô</t>
  </si>
  <si>
    <t xml:space="preserve">Huyện Ngọc Hồi </t>
  </si>
  <si>
    <t>Huyện Đăk Glei</t>
  </si>
  <si>
    <t>Huyện Sa Thầy</t>
  </si>
  <si>
    <t>Huyện Ia H'Drai</t>
  </si>
  <si>
    <t>Huyện Kon Plong</t>
  </si>
  <si>
    <t>Huyện Tu mơ rông</t>
  </si>
  <si>
    <t>DỰ TOÁN</t>
  </si>
  <si>
    <t>Chi ngân sách huyện</t>
  </si>
  <si>
    <t>15=16+17</t>
  </si>
  <si>
    <t>12=13+14</t>
  </si>
  <si>
    <t>11=12+15</t>
  </si>
  <si>
    <t>8=9+10</t>
  </si>
  <si>
    <t>5=6+7</t>
  </si>
  <si>
    <t>4=5+8</t>
  </si>
  <si>
    <t>3=8+15</t>
  </si>
  <si>
    <t>2=5+12</t>
  </si>
  <si>
    <t>Chương trình mục tiêu quốc gia xây dựng nông thôn mới</t>
  </si>
  <si>
    <t>Chương trình mục tiêu quốc gia giảm nghèo bền vững</t>
  </si>
  <si>
    <t>1=2+4</t>
  </si>
  <si>
    <t>2=5+13</t>
  </si>
  <si>
    <t>3=8+16</t>
  </si>
  <si>
    <t>4=5+9</t>
  </si>
  <si>
    <t>5=6+8</t>
  </si>
  <si>
    <t>8=9+11</t>
  </si>
  <si>
    <t>11=12+16</t>
  </si>
  <si>
    <t>12=13+15</t>
  </si>
  <si>
    <t>15=16+18</t>
  </si>
  <si>
    <t>QUYẾT TOÁN</t>
  </si>
  <si>
    <t>SO SÁNH (%)</t>
  </si>
  <si>
    <t>Liên minh HTX tỉnh</t>
  </si>
  <si>
    <t>Các Chủ đầu tư khác</t>
  </si>
  <si>
    <t>BẢNG PHÂN CÔNG THỰC HIỆN CÁC BIỂU QUYẾT TOÁN NSĐP THEO NGHỊ ĐỊNH 31</t>
  </si>
  <si>
    <t>Tên biểu</t>
  </si>
  <si>
    <t>Ký hiệu</t>
  </si>
  <si>
    <t>Cán bộ thực hiện</t>
  </si>
  <si>
    <t>CBCQ phối hợp</t>
  </si>
  <si>
    <t>Ghi chú</t>
  </si>
  <si>
    <t>Biểu mẫu số 48</t>
  </si>
  <si>
    <t>Quyết toán cân đối nguồn thu, chi ngân sách cấp tỉnh</t>
  </si>
  <si>
    <t>Biểu mẫu số 49</t>
  </si>
  <si>
    <t>Quyết toán nguồn thu ngân sách nhà nước trên địa bàn theo lĩnh vực</t>
  </si>
  <si>
    <t>Biểu mẫu số 50</t>
  </si>
  <si>
    <t>Hào</t>
  </si>
  <si>
    <t>Biểu mẫu số 51</t>
  </si>
  <si>
    <t>Biểu mẫu số 52</t>
  </si>
  <si>
    <t>Biểu mẫu số 53</t>
  </si>
  <si>
    <t>Biểu mẫu số 54</t>
  </si>
  <si>
    <t>Quyết toán chi ngân sách địa phương theo lĩnh vực</t>
  </si>
  <si>
    <t>Quyết toán chi ngân sách cấp tỉnh theo lĩnh vực</t>
  </si>
  <si>
    <t>Tân</t>
  </si>
  <si>
    <t>Quyết toán chi NSĐP, chi ngân sách cấp tỉnh theo cơ cấu chi</t>
  </si>
  <si>
    <t>Quyết toán chi ngân sách cấp tỉnh cho từng cơ quan, tổ chức theo lĩnh vực</t>
  </si>
  <si>
    <t>Biểu mẫu số 58</t>
  </si>
  <si>
    <t>Biểu mẫu số 59</t>
  </si>
  <si>
    <t>Biểu mẫu số 61</t>
  </si>
  <si>
    <t>Quyết toán chi ngân sách địa phương từng huyện</t>
  </si>
  <si>
    <t>Quyết toán chi CTMTQG</t>
  </si>
  <si>
    <t>Hiền</t>
  </si>
  <si>
    <t>Quyết toán bổ sung từ ngân sách cấp tỉnh cho ngân sách cấp huyện</t>
  </si>
  <si>
    <t>Biểu mẫu số 64</t>
  </si>
  <si>
    <t>(KHÔNG BAO GỒM NGUỒN NGÂN SÁCH NHÀ NƯỚC)</t>
  </si>
  <si>
    <t>Sự nghiệp giáo dục - đào tạo và dạy nghề</t>
  </si>
  <si>
    <t>Sự nghiệp đào tạo và dạy nghề</t>
  </si>
  <si>
    <t>Sự nghiệp khoa học và công nghệ</t>
  </si>
  <si>
    <t>Sự nghiệp văn hóa thông tin</t>
  </si>
  <si>
    <t>Sự nghiệp phát thanh truyền hình</t>
  </si>
  <si>
    <t>Sự nghiệp thể dục thể thao</t>
  </si>
  <si>
    <t>Biểu mẫu số 63</t>
  </si>
  <si>
    <t>TỔNG HỢP CÁC QUỸ TÀI CHÍNH NHÀ NƯỚC</t>
  </si>
  <si>
    <t>Tên Quỹ</t>
  </si>
  <si>
    <t>Tổng nguồn vốn phát sinh trong năm</t>
  </si>
  <si>
    <t>Tổng sử dụng nguồn vốn trong năm</t>
  </si>
  <si>
    <t>Chênh lệch nguồn trong năm</t>
  </si>
  <si>
    <t>5=2-4</t>
  </si>
  <si>
    <t>9=6-8</t>
  </si>
  <si>
    <t>10=1+6-8</t>
  </si>
  <si>
    <t>Dung</t>
  </si>
  <si>
    <t>CBCQ</t>
  </si>
  <si>
    <t>TÊN ĐƠN VỊ</t>
  </si>
  <si>
    <t>CHI ĐẦU TƯ PHÁT TRIỂN (KHÔNG KỂ CHƯƠNG TRÌNH MTQG)</t>
  </si>
  <si>
    <t>CHI THƯỜNG XUYÊN (KHÔNG KỂ CHƯƠNG TRÌNH MTQG)</t>
  </si>
  <si>
    <t>Chi thường xuyên (không kể chương trình MTQG va TƯ BSMT vốn sự nghiệp)</t>
  </si>
  <si>
    <t>TƯ BSMT vốn sự nghiệp</t>
  </si>
  <si>
    <t>CHI CHƯƠNG TRÌNH MTQG</t>
  </si>
  <si>
    <t>CHI CHUYỂN NGUỒN SANG NGÂN SÁCH NĂM SAU</t>
  </si>
  <si>
    <t>CHI NỘP TRẢ NGÂN SÁCH CẤP TRÊN</t>
  </si>
  <si>
    <t>CHI ĐẦU TƯ PHÁT TRIỂN</t>
  </si>
  <si>
    <t>CHI THƯỜNG XUYÊN</t>
  </si>
  <si>
    <t>Chi thường xuyên cấp DT</t>
  </si>
  <si>
    <t>Chi thường xuyên cấp Lệnh chi</t>
  </si>
  <si>
    <t>Đâu tư</t>
  </si>
  <si>
    <t>Sự nghiệp</t>
  </si>
  <si>
    <t>1=2+..+6</t>
  </si>
  <si>
    <t>6=7+8</t>
  </si>
  <si>
    <t>9=10+..+14+17</t>
  </si>
  <si>
    <t>14=15+16</t>
  </si>
  <si>
    <t>17=18+19</t>
  </si>
  <si>
    <t>20=9/1</t>
  </si>
  <si>
    <t>21=10/2</t>
  </si>
  <si>
    <t>22=11/3</t>
  </si>
  <si>
    <t>23=14/6</t>
  </si>
  <si>
    <t>I.1</t>
  </si>
  <si>
    <t>CÁC CƠ QUAN, TỔ CHỨC KHỐI TỈNH</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</si>
  <si>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</si>
  <si>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</si>
  <si>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</si>
  <si>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</si>
  <si>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</si>
  <si>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</si>
  <si>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</si>
  <si>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</si>
  <si>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</si>
  <si>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</si>
  <si>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</si>
  <si>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</si>
  <si>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</si>
  <si>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</si>
  <si>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</si>
  <si>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</si>
  <si>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</si>
  <si>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</si>
  <si>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</si>
  <si>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</si>
  <si>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</si>
  <si>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</si>
  <si>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</si>
  <si>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</si>
  <si>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</si>
  <si>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</si>
  <si>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</si>
  <si>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</si>
  <si>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</si>
  <si>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</si>
  <si>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</si>
  <si>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</si>
  <si>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</si>
  <si>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53</t>
  </si>
  <si>
    <t>54</t>
  </si>
  <si>
    <t>55</t>
  </si>
  <si>
    <t>56</t>
  </si>
  <si>
    <t>57</t>
  </si>
  <si>
    <t>58</t>
  </si>
  <si>
    <t>59</t>
  </si>
  <si>
    <t>60</t>
  </si>
  <si>
    <t>61</t>
  </si>
  <si>
    <t>62</t>
  </si>
  <si>
    <t>63</t>
  </si>
  <si>
    <t>64</t>
  </si>
  <si>
    <t>65</t>
  </si>
  <si>
    <t>66</t>
  </si>
  <si>
    <t>67</t>
  </si>
  <si>
    <t>68</t>
  </si>
  <si>
    <t>69</t>
  </si>
  <si>
    <t>70</t>
  </si>
  <si>
    <t>Quỹ phát triển đất</t>
  </si>
  <si>
    <t>71</t>
  </si>
  <si>
    <t>72</t>
  </si>
  <si>
    <t>73</t>
  </si>
  <si>
    <t>74</t>
  </si>
  <si>
    <t>75</t>
  </si>
  <si>
    <t>I.2</t>
  </si>
  <si>
    <t>CÁC HUYỆN, THÀNH PHỐ (Quyết toán tại ngân sách tỉnh, không bao gồm vốn đầu tư phân cấp NSH)</t>
  </si>
  <si>
    <t>UBND huyện Đăk Hà</t>
  </si>
  <si>
    <t>UBND huyện Đăk Tô</t>
  </si>
  <si>
    <t xml:space="preserve">UBND huyện Ngọc Hồi </t>
  </si>
  <si>
    <t>UBND huyện Kon Rẫy</t>
  </si>
  <si>
    <t xml:space="preserve">UBND huyện Kon PLông </t>
  </si>
  <si>
    <t>CHI KHÁC NGÂN SÁCH TỈNH</t>
  </si>
  <si>
    <t>Nguồn mua sắm sữa chữa tập trung</t>
  </si>
  <si>
    <t>Cấp vốn ủy thác, bù lãi suất theo NQ HĐND</t>
  </si>
  <si>
    <t>CHI BỔ SUNG QUỸ DỰ TRỮ TÀI CHÍNH</t>
  </si>
  <si>
    <t>CHI DỰ PHÒNG NGÂN SÁCH</t>
  </si>
  <si>
    <t>VIII</t>
  </si>
  <si>
    <t>ĐVT: Triệu đồng</t>
  </si>
  <si>
    <t>Công đoàn viên chức tỉnh</t>
  </si>
  <si>
    <t xml:space="preserve">CHI NỘP TRẢ NGÂN SÁCH CẤP TRÊN </t>
  </si>
  <si>
    <t>Công ty TNHH MTV Cao su Kon Tum</t>
  </si>
  <si>
    <t>Huyện/ Thành phố</t>
  </si>
  <si>
    <t>Chi nguồn giao tăng thu so dự toán Trung ương giao</t>
  </si>
  <si>
    <t>Chi nộp NS cấp trên</t>
  </si>
  <si>
    <t>Sở Lao động TB &amp;XH</t>
  </si>
  <si>
    <t>Ủy ban mặt trận Tổ quốc Việt Nam tỉnh</t>
  </si>
  <si>
    <t>Tỉnh Đoàn</t>
  </si>
  <si>
    <t>Sở Thông tin và Truyền thông</t>
  </si>
  <si>
    <t>TP Kon Tum</t>
  </si>
  <si>
    <t>35=18/1</t>
  </si>
  <si>
    <t>36=19/2</t>
  </si>
  <si>
    <t>37=20/3</t>
  </si>
  <si>
    <t>38=21/4</t>
  </si>
  <si>
    <t>39=22/5</t>
  </si>
  <si>
    <t>40=23/6</t>
  </si>
  <si>
    <t>41=24/7</t>
  </si>
  <si>
    <t>45=25/8</t>
  </si>
  <si>
    <t>46=26/9</t>
  </si>
  <si>
    <t>47=27/10</t>
  </si>
  <si>
    <t>48=28/11</t>
  </si>
  <si>
    <t>49=29/12</t>
  </si>
  <si>
    <t>50=30/13</t>
  </si>
  <si>
    <t>51=31/14</t>
  </si>
  <si>
    <t>52=32/15</t>
  </si>
  <si>
    <t>53=33/16</t>
  </si>
  <si>
    <t>54=34/17</t>
  </si>
  <si>
    <t>Quỹ khám chữa bệnh người nghèo</t>
  </si>
  <si>
    <t>Tăng thu từ các dự án khai thác quỹ đất so với dự toán Trung ương giao (phân bổ chi đầu tư các dự án, nhiệm vụ theo tiến độ nguồn thu thực tế)</t>
  </si>
  <si>
    <t>Thu viện trợ, các khoản huy động, đóng góp</t>
  </si>
  <si>
    <t>Quỹ đầu tư phát triển</t>
  </si>
  <si>
    <t>Quỹ bảo vệ phát triển rừng</t>
  </si>
  <si>
    <t>Quỹ vì người nghèo</t>
  </si>
  <si>
    <t>Quỹ cứu trợ</t>
  </si>
  <si>
    <t>Quỹ hỗ trợ nạn nhân chất độc da cam/đioxin</t>
  </si>
  <si>
    <t>Quỹ vì người khuyết tật và trẻ em mồ côi</t>
  </si>
  <si>
    <t>Quỹ khuyến học</t>
  </si>
  <si>
    <t>Quỹ phòng chống thiên tai</t>
  </si>
  <si>
    <t>Quỹ đền ơn đáp nghĩa</t>
  </si>
  <si>
    <t>Quỹ bảo trợ trẻ em</t>
  </si>
  <si>
    <t>Quỹ phòng chống tội phạm</t>
  </si>
  <si>
    <t>Quỹ An ninh trật tự</t>
  </si>
  <si>
    <t>Quỹ hỗ trợ nông dân</t>
  </si>
  <si>
    <t>Quỹ hỗ trợ phát triển hợp tác xã</t>
  </si>
  <si>
    <t>Quỹ phát triển khoa học công nghệ</t>
  </si>
  <si>
    <t>Ngân sách cấp tỉnh</t>
  </si>
  <si>
    <t>Ngân sách huyện</t>
  </si>
  <si>
    <t xml:space="preserve">Ngân sách cấp tỉnh </t>
  </si>
  <si>
    <t xml:space="preserve">Ngân sách huyện </t>
  </si>
  <si>
    <t xml:space="preserve"> -</t>
  </si>
  <si>
    <t>TỔNG CỘNG</t>
  </si>
  <si>
    <t>*</t>
  </si>
  <si>
    <t>TỔNG CHI NGÂN SÁCH ĐỊA PHƯƠNG (BAO GỒM BỘI CHI NSĐP)</t>
  </si>
  <si>
    <t>A.1</t>
  </si>
  <si>
    <t>A.2</t>
  </si>
  <si>
    <t>Chi từ nguồn bội chi NSĐP</t>
  </si>
  <si>
    <t>Thu từ ngân sách cấp dưới nộp lên</t>
  </si>
  <si>
    <t>Vay của ngân sách địa phương</t>
  </si>
  <si>
    <t>Thu kết dư năm trước</t>
  </si>
  <si>
    <t>Chương trình mở rộng quy mô nước sạch nông thôn dựa trên kết quả</t>
  </si>
  <si>
    <t>Dự án Sửa chữa và nâng cao an toán đập</t>
  </si>
  <si>
    <t>Dự án chuyển đổi nông nghiệp bền vững trên địa bàn tỉnh Kon Tum (VnSat) giai đoạn 2015-2020</t>
  </si>
  <si>
    <t>2.</t>
  </si>
  <si>
    <t>Bệnh viện Y dược Cổ truyền - Phục hồi chức năng tỉnh Kon Tum</t>
  </si>
  <si>
    <t>Biểu số 53</t>
  </si>
  <si>
    <t>Biểu số 54</t>
  </si>
  <si>
    <r>
      <t xml:space="preserve">Ghi chú: </t>
    </r>
    <r>
      <rPr>
        <i/>
        <sz val="1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</si>
  <si>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Đvt: Triệu đồng</t>
  </si>
  <si>
    <r>
      <t>Ghi chú:</t>
    </r>
    <r>
      <rPr>
        <i/>
        <sz val="10"/>
        <rFont val="Times New Roman"/>
        <family val="1"/>
      </rPr>
      <t xml:space="preserve"> (1) Ngân sách xã không có nhiệm vụ chi bổ sung cân đối cho ngân sách cấp dưới.</t>
    </r>
  </si>
  <si>
    <t>Biểu số 61</t>
  </si>
  <si>
    <t>Khối huyện, thành phố</t>
  </si>
  <si>
    <t>1.5</t>
  </si>
  <si>
    <t>1.6</t>
  </si>
  <si>
    <t>1.7</t>
  </si>
  <si>
    <t>Sự nghiệp môi trường</t>
  </si>
  <si>
    <t>Sự nghiệp kinh tế và sự nghiệp khác</t>
  </si>
  <si>
    <t>5.4</t>
  </si>
  <si>
    <t>5.5</t>
  </si>
  <si>
    <t>5.6</t>
  </si>
  <si>
    <t>5.7</t>
  </si>
  <si>
    <t>Sự nghiệp bảo đảm xã hội</t>
  </si>
  <si>
    <t>Trung tâm dịch vụ đấu giá tài sản</t>
  </si>
  <si>
    <t>Phòng Công chứng số 1</t>
  </si>
  <si>
    <t>Phòng Công chứng số 2</t>
  </si>
  <si>
    <t>Hào xong</t>
  </si>
  <si>
    <t>Đất dự án khu trung tâm phường Ngô Mây, thành phố Kon Tum (1449)</t>
  </si>
  <si>
    <t>Biểu số 50</t>
  </si>
  <si>
    <t>CHI NỌP TRẢ NGÂN SÁCH CẤP TRÊN</t>
  </si>
  <si>
    <t>Thu huy động, đóng góp</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</si>
  <si>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
             (2) Số quyết toán tăng so với số dự toán giao đầu năm là trong năm được cấp có thẩm quyền giao bổ sung từ nguồn Trung ương bổ sung có mục tiêu, nguồn năm trước chuyển sang, nguồn tăng thu NSĐP....</t>
  </si>
  <si>
    <t>Các CĐT khác</t>
  </si>
  <si>
    <t xml:space="preserve">CHI BỔ SUNG MỤC TIÊU CHO NGÂN SÁCH HUYỆN </t>
  </si>
  <si>
    <t>So sánh (2)</t>
  </si>
  <si>
    <t>So sánh (%) (2)</t>
  </si>
  <si>
    <t xml:space="preserve">                (2) Số quyết toán tăng so với số dự toán giao đầu năm là trong năm được cấp có thẩm quyền giao bổ sung từ nguồn Trung ương bổ sung có mục tiêu, nguồn năm trước chuyển sang, nguồn tăng thu NSĐP....</t>
  </si>
  <si>
    <t>Tương đối (%) (3)</t>
  </si>
  <si>
    <t>(3) Số quyết toán tăng so với số dự toán giao đầu năm là trong năm được cấp có thẩm quyền giao bổ sung từ nguồn Trung ương bổ sung có mục tiêu, nguồn năm trước chuyển sang, nguồn tăng thu NSĐP....</t>
  </si>
  <si>
    <t>Tổng chi cân đối NSĐP (bao gồm bội chi NSĐP)</t>
  </si>
  <si>
    <t>Tổng chi cân đối NSĐP</t>
  </si>
  <si>
    <t>Chi trả nợ gốc, lãi các khoản do chính quyền địa phương vay</t>
  </si>
  <si>
    <t>Trong đó: - Thuế BVMT thu từ hàng hóa sản xuất, kinh doanh trong nước</t>
  </si>
  <si>
    <t xml:space="preserve">                   - Thuế BVMT thu từ hàng hóa nhập khẩu</t>
  </si>
  <si>
    <t>VAY CỦA NGÂN SÁCH ĐỊA PHƯƠNG</t>
  </si>
  <si>
    <t>Địa phương vay từ nguồn cho vay lại của Chính phủ</t>
  </si>
  <si>
    <t>Chi nộp ngân sách cấp trên</t>
  </si>
  <si>
    <t>CHI NỘP NGÂN SÁCH CẤP TRÊN</t>
  </si>
  <si>
    <t>Khối tỉnh</t>
  </si>
  <si>
    <t>Tỉnh đoàn (Trung tâm Văn hóa thể thao TTN)</t>
  </si>
  <si>
    <t>Ban quản lý cửa khẩu quốc tế Bờ Y</t>
  </si>
  <si>
    <t>Văn phòng UBND tỉnh</t>
  </si>
  <si>
    <t>Sở Tài nguyên-Môi trường</t>
  </si>
  <si>
    <t>Văn phòng Đăng ký đất đai</t>
  </si>
  <si>
    <t>Trung tâm Phát triển quỹ đất</t>
  </si>
  <si>
    <t>Sự nghiệp bảo vệ môi trường</t>
  </si>
  <si>
    <t>Huyện Tu Mơ Rông</t>
  </si>
  <si>
    <t xml:space="preserve">CHI TRẢ NỢ LÃI, GỐC VAY </t>
  </si>
  <si>
    <t xml:space="preserve">TỔNG SỐ </t>
  </si>
  <si>
    <t>Phòng TCDN</t>
  </si>
  <si>
    <t xml:space="preserve">Tân </t>
  </si>
  <si>
    <t>(Kèm theo Nghị quyết số:          /NQ-HĐND ngày       tháng     năm 2022 của Hội đồng nhân dân tỉnh Kon Tum)</t>
  </si>
  <si>
    <t>QUYẾT TOÁN CHI CHƯƠNG TRÌNH MỤC TIÊU QUỐC GIA NĂM 2021</t>
  </si>
  <si>
    <t>Dư nguồn đến ngày 31/12/2021</t>
  </si>
  <si>
    <t xml:space="preserve">Nguồn vốn vay còn lại chưa phân bổ </t>
  </si>
  <si>
    <t>Chi trả nợ gốc, lãi các khoản do chính quyền địa phương vay (2)</t>
  </si>
  <si>
    <t>1.8</t>
  </si>
  <si>
    <t>1.9</t>
  </si>
  <si>
    <t>1.10</t>
  </si>
  <si>
    <t>1.11</t>
  </si>
  <si>
    <t>Chi từ nguồn thu các dự án khai thác quỹ đất so với dự toán Trung ương giao (Bao gồm chi đền bù GPMB của các DA đầu tư mà nhà đầu tư đã tự nguyện ứng trước từ nguồn thu tiền thuê đất, tiền sử dụng đất  phân bổ cho các dự án, nhiệm vụ theo tiến độ nguồn thu thực tế)</t>
  </si>
  <si>
    <t>Chi quốc phòng, an ninh và trật tự an toàn xã hội</t>
  </si>
  <si>
    <t>77</t>
  </si>
  <si>
    <t>78</t>
  </si>
  <si>
    <t>Hội người cao tuổi</t>
  </si>
  <si>
    <t>1.12</t>
  </si>
  <si>
    <t>IX</t>
  </si>
  <si>
    <t xml:space="preserve">Chi cho vay từ nguồn vốn trong nước </t>
  </si>
  <si>
    <t>Ngành, lĩnh vực giao thông</t>
  </si>
  <si>
    <t>Ngành, lĩnh vực nông nghiệp, lâm nghiệp, thủy lợi và thủy sản</t>
  </si>
  <si>
    <t>Ngành, lĩnh vực Quốc phòng</t>
  </si>
  <si>
    <t>Ngành, lĩnh vực Y tế</t>
  </si>
  <si>
    <t>Dự án khai thác quỹ đất phát triển kết cấu hạ tầng Trung tâm thể dục thể thao phường Trường Chinh, thành phố Kon Tum (1449)</t>
  </si>
  <si>
    <t>GTGC tiền thuê đất tương ứng số tiền đền bù GPMB của các DA đầu tư mà nhà đầu tư đã tự nguyện ứng trước (3605)</t>
  </si>
  <si>
    <t>Tiền sử dụng đất thuộc Dự án đường Bà Triệu (1449)</t>
  </si>
  <si>
    <t>Tiền bán tài sản liền với đất thuộc Dự án đường Bà Triệu (3365)</t>
  </si>
  <si>
    <t>Thu viện trợ thuộc nguồn thu ngân sách địa phương</t>
  </si>
  <si>
    <t>Chi cho vay từ nguồn vốn trong nước</t>
  </si>
  <si>
    <t>BỘI CHI NSĐP/BỘI THU NSĐP/KẾT DƯ NSĐP</t>
  </si>
  <si>
    <t>X</t>
  </si>
  <si>
    <t>CHI CHO VAY TỪ NGUỒN VỐN TRONG NƯỚC</t>
  </si>
  <si>
    <t>Ghi chú: (1) Nguồn Trung ương bổ sung vào thời điểm cuối năm 2021, chưa phân bổ được phép chuyển nguồn sang 2022 phân bổ theo quy định</t>
  </si>
  <si>
    <t>Sự nghiệp đào tạo và dạy nghề (Trường Cao đẳng Cộng đồng)</t>
  </si>
  <si>
    <t>Sự nghiệp đào tạo và bồi dưỡng (Trường Chính trị)</t>
  </si>
  <si>
    <t>Sự nghiệp khoa học và công nghệ (Trung tâm nghiên cứu Ứng dụng &amp;DVKH&amp;CN)</t>
  </si>
  <si>
    <t>Sở Thông tin và Truyền thông (Trung tâm Công nghệ TT&amp;TT)</t>
  </si>
  <si>
    <t>Sự nghiệp thể dục thể thao (Sở VHTT&amp;DL, Trung tâm Huấn luyện và TĐTDTT)</t>
  </si>
  <si>
    <t>BQL VQG Chư Mom Ray</t>
  </si>
  <si>
    <t>Trung tâm giám định chất lượng xây dựng</t>
  </si>
  <si>
    <t>Trung tâm đăng kiểm 82.01.S</t>
  </si>
  <si>
    <t>Trung tâm Dịch vụ hành chính - Hội nghị tỉnh Kon Tum</t>
  </si>
  <si>
    <t>Ban QL Khu kinh tế (Công ty Đầu tư phát triển hạ tầng Khu kinh tế)</t>
  </si>
  <si>
    <t>Sự nghiệp giáo dục- đào tạo và dạy nghề</t>
  </si>
  <si>
    <t>Huyện Tu mơ Rông</t>
  </si>
  <si>
    <t>10.1</t>
  </si>
  <si>
    <t>10.2</t>
  </si>
  <si>
    <t>10.3</t>
  </si>
  <si>
    <t>10.4</t>
  </si>
  <si>
    <t>10.5</t>
  </si>
  <si>
    <t>10.6</t>
  </si>
  <si>
    <t>QUYẾT TOÁN CÂN ĐỐI NGÂN SÁCH ĐỊA PHƯƠNG NĂM 2022</t>
  </si>
  <si>
    <t>(Kèm theo Nghị quyết số:          /NQ-HĐND ngày       tháng     năm 2023 của Hội đồng nhân dân tỉnh Kon Tum)</t>
  </si>
  <si>
    <t>QUYẾT TOÁN NGUỒN THU NGÂN SÁCH NHÀ NƯỚC TRÊN ĐỊA BÀN THEO LĨNH VỰC NĂM 2022</t>
  </si>
  <si>
    <t>QUYẾT TOÁN CHI NGÂN SÁCH ĐỊA PHƯƠNG THEO LĨNH VỰC NĂM 2022</t>
  </si>
  <si>
    <t>QUYẾT TOÁN CHI NGÂN SÁCH CẤP TỈNH THEO LĨNH VỰC NĂM 2022</t>
  </si>
  <si>
    <t>QUYẾT TOÁN CHI NGÂN SÁCH ĐỊA PHƯƠNG, CHI NGÂN SÁCH CẤP TỈNH VÀ CHI NGÂN SÁCH HUYỆN THEO CƠ CẤU CHI NĂM 2022</t>
  </si>
  <si>
    <t>Dự toán năm 2022</t>
  </si>
  <si>
    <t>QUYẾT TOÁN CHI NGÂN SÁCH ĐỊA PHƯƠNG TỪNG HUYỆN NĂM 2022</t>
  </si>
  <si>
    <t>QUYẾT TOÁN CHI BỔ SUNG TỪ NGÂN SÁCH CẤP TỈNH CHO NGÂN SÁCH TỪNG HUYỆN NĂM 2022</t>
  </si>
  <si>
    <t>QUYẾT TOÁN CHI CHƯƠNG TRÌNH MỤC TIÊU QUỐC GIA NĂM 2022</t>
  </si>
  <si>
    <t>DỰ TOÁN TRUNG ƯƠNG BỔ SUNG CÓ MỤC TIÊU TRONG NĂM 2022</t>
  </si>
  <si>
    <t>NGOÀI NGÂN SÁCH DO ĐỊA PHƯƠNG QUẢN LÝ NĂM 2022</t>
  </si>
  <si>
    <t>TỔNG HỢP THU DỊCH VỤ CỦA ĐƠN VỊ SỰ NGHIỆP CÔNG NĂM 2022</t>
  </si>
  <si>
    <t>Kế hoạch năm 2022</t>
  </si>
  <si>
    <t>Thực hiện năm 2022</t>
  </si>
  <si>
    <t>Quyết toán cân đối ngân sách địa phương năm 2022</t>
  </si>
  <si>
    <t>Tổng hợp các quỹ tài chính nhà nước ngoài ngân sách do địa phương quản lý năm 2022</t>
  </si>
  <si>
    <t>Tổng hợp thu dịch vụ của đơn vị sự nghiệp công năm 2022 (không bao gồm nguồn ngân sách nhà nước)</t>
  </si>
  <si>
    <t>Chi tăng cường hạ tầng khu KT cửa khẩu Bờ Y (từ nguồn thu phí sử dụng hạ tầng Khu kinh tế cửa khẩu)</t>
  </si>
  <si>
    <t>Hỗ trợ thực hiện một số Đề án, Dự án khoa học và công nghệ (Sở Khoa học và Công nghệ)</t>
  </si>
  <si>
    <t>Hỗ trợ vốn dự bị động viên: Dự án cơ sở huấn luyện dự bị động viên (Bộ Chỉ huy Quân sự tỉnh)</t>
  </si>
  <si>
    <t>Hỗ trợ bồi dưỡng cán bộ, công chức Hội Liên hiệp các cấp và Chi hội trưởng Phụ nữ (Hội Liên hiệp phụ nữ tỉnh)</t>
  </si>
  <si>
    <t>Hỗ trợ kinh phí thực hiện nhiệm vụ đảm bảo trật tự an toàn giao thông</t>
  </si>
  <si>
    <t>Kinh phí quản lý, bảo trì đường bộ (Sở Giao thông vận tải)</t>
  </si>
  <si>
    <t>2.4</t>
  </si>
  <si>
    <t>2.5</t>
  </si>
  <si>
    <t>BQL khai thác các công trình thủy lợi</t>
  </si>
  <si>
    <t>Sở Giao thông vận tải</t>
  </si>
  <si>
    <t>Ban An toàn giao thông</t>
  </si>
  <si>
    <t xml:space="preserve">Sở Công Thương </t>
  </si>
  <si>
    <t>Sở Giáo dục Đào tạo</t>
  </si>
  <si>
    <t>Sở Lao động Thương binh Xã hội</t>
  </si>
  <si>
    <t xml:space="preserve">Sở Tư pháp </t>
  </si>
  <si>
    <t>Văn phòng Tỉnh Uỷ</t>
  </si>
  <si>
    <t>Sở Khoa học công nghệ</t>
  </si>
  <si>
    <t xml:space="preserve">Tỉnh đoàn </t>
  </si>
  <si>
    <t xml:space="preserve">Ban Quản lý Khu Kinh tế  </t>
  </si>
  <si>
    <t>BQL Vườn quốc gia Chư Mom Ray</t>
  </si>
  <si>
    <t>Trường Cao đẳng Cộng đồng</t>
  </si>
  <si>
    <t xml:space="preserve">Trường Chính trị </t>
  </si>
  <si>
    <t xml:space="preserve"> Đài phát thanh - Truyền hình</t>
  </si>
  <si>
    <t xml:space="preserve">Ban bảo vệ chăm sóc sức khoẻ cán bộ </t>
  </si>
  <si>
    <t>Văn phòng Đoàn ĐBQH và HĐND tỉnh</t>
  </si>
  <si>
    <t xml:space="preserve">Sở Kế hoạch Đầu tư </t>
  </si>
  <si>
    <t xml:space="preserve">Sở Tài chính </t>
  </si>
  <si>
    <t xml:space="preserve">Hội Cựu chiến binh </t>
  </si>
  <si>
    <t xml:space="preserve">Hội Nông dân </t>
  </si>
  <si>
    <t xml:space="preserve">Hội liên hiệp phụ nữ tỉnh </t>
  </si>
  <si>
    <t>Các Chủ đầu tư khác, chi phí QL đất đai, Quỹ phát triển đất, Chưa phân bổ chi tiết</t>
  </si>
  <si>
    <t>Hội nạn nhân chất độc da cam/dioxin</t>
  </si>
  <si>
    <t>Hội Bảo vệ quyền trẻ em và bảo trợ người khuyết tật</t>
  </si>
  <si>
    <t xml:space="preserve">Liên hiệp các hội KH và kỹ thuật </t>
  </si>
  <si>
    <t>Liên minh Hợp tác xã</t>
  </si>
  <si>
    <t>Ban Quản lý Dự án Phát triển trẻ thơ toàn diện tỉnh</t>
  </si>
  <si>
    <t xml:space="preserve">Liên đoàn Lao động tỉnh </t>
  </si>
  <si>
    <t>Công ty TNHH MTV Lâm nghiệp Đăk Glei</t>
  </si>
  <si>
    <t>Công ty TNHH MTV Lâm nghiệp Kon Plong</t>
  </si>
  <si>
    <t>Công ty cổ phần Sâm Ngọc Linh Kon Tum</t>
  </si>
  <si>
    <t>Công ty cổ phần đầu tư phát triển Duy Tân</t>
  </si>
  <si>
    <t>Công ty TNHH MTV Cao su Chư Momray</t>
  </si>
  <si>
    <t>Công ty cổ phần Cao su Sa Thầy</t>
  </si>
  <si>
    <t>46</t>
  </si>
  <si>
    <t>XI</t>
  </si>
  <si>
    <t>CHI TỪ NGUỒN BỘI CHI NSĐP</t>
  </si>
  <si>
    <t>79</t>
  </si>
  <si>
    <t>80</t>
  </si>
  <si>
    <t>81</t>
  </si>
  <si>
    <t>82</t>
  </si>
  <si>
    <t>83</t>
  </si>
  <si>
    <t>CHI TỪ NGUỒN GIAO TĂNG THU SO DỰ TOÁN TRUNG ƯƠNG GIAO</t>
  </si>
  <si>
    <t>CHI BỔ SUNG QUỸ DỰ TRỮ TÀI CHÍNH, CHI DỰ PHÒNG, CHI BSMT CHO NGÂN SÁCH HUYỆN; CHI TỪ NGUỒN BỘI CHI NSĐP, CHI TỪ NGUỒN GIAO TĂNG THU SO DỰ TOÁN TRUNG ƯƠNG GIAO</t>
  </si>
  <si>
    <t>Vốn vay đầu năm chưa phân bổ</t>
  </si>
  <si>
    <t>vốn đầu tư TWBSMT NS cấp tỉnh</t>
  </si>
  <si>
    <t>Huyện Ngọc Hồi</t>
  </si>
  <si>
    <t>Huyện Ia'H Drai</t>
  </si>
  <si>
    <t>Hào và CBCQ</t>
  </si>
  <si>
    <r>
      <rPr>
        <strike/>
        <sz val="13"/>
        <rFont val="Times New Roman"/>
        <family val="1"/>
      </rPr>
      <t xml:space="preserve"> </t>
    </r>
    <r>
      <rPr>
        <sz val="13"/>
        <rFont val="Times New Roman"/>
        <family val="1"/>
      </rPr>
      <t xml:space="preserve">Tân chủ trì, Hào, Dung, Hiền phối hợp hệ thống biểu mẫu theo NĐ 31. Hải chủ trì thực hiện các Biểu công khai QT và hoàn thiện trình UB tỉnh công khai theo quy định. </t>
    </r>
    <r>
      <rPr>
        <sz val="13"/>
        <color rgb="FFFF0000"/>
        <rFont val="Times New Roman"/>
        <family val="1"/>
      </rPr>
      <t>Phòng TCĐT và Phòng TCDN phối hợp theo chức năng, nhiệm vụ</t>
    </r>
  </si>
  <si>
    <t>Các nhiệm vụ chi khác</t>
  </si>
  <si>
    <t>CHI TRẢ NỢ GỐC, LÃI CÁC KHOẢN DO CHÍNH QUYỀN ĐỊA PHƯƠNG VAY</t>
  </si>
  <si>
    <t>CHI BỔ SUNG QUỸ DỰ TRỮ TÀI CHÍNH, CHI DỰ PHÒNG, CHI BSMT CHO NGÂN SÁCH HUYỆN;  CHI CHO VAY TỪ NGUỒN VỐN TRONG NƯỚC</t>
  </si>
  <si>
    <t>Sở Nông nghiệp và phát triển nông thôn</t>
  </si>
  <si>
    <t>Sở Ngoại vụ</t>
  </si>
  <si>
    <t xml:space="preserve">Sở Văn hoá - Thể thao và  Du lịch </t>
  </si>
  <si>
    <t>Thanh tra tỉnh</t>
  </si>
  <si>
    <t>Bộ Chỉ huy Quân sự tinh và Bộ Chỉ huy Biên phòng</t>
  </si>
  <si>
    <t>Hội hữu nghị Việt - Lào và Hội Hữu nghị Việt Nam - Campuchia</t>
  </si>
  <si>
    <t>Sở Tài nguyên Môi trường</t>
  </si>
  <si>
    <t>Các đơn vị khác không có mã số thụ hưởng NS tỉnh Kon Tum</t>
  </si>
  <si>
    <t>Sự nghiệp Văn hóa TTDL&amp;TT</t>
  </si>
  <si>
    <t>Dư nguồn đến ngày 31/12/2022</t>
  </si>
  <si>
    <t>Phí và lệ phí tỉnh</t>
  </si>
  <si>
    <t>Tăng thu tiền sử dụng đất thành phố quản lý (1449)</t>
  </si>
  <si>
    <t>Tiền thuê đất thuộc Dự án đường Bà Triệu (3605)</t>
  </si>
  <si>
    <t>Sở Nông nghiệp và Phát triển nông thôn</t>
  </si>
  <si>
    <t>Sở Lao động - Thương binh và Xã hội</t>
  </si>
  <si>
    <t>Sở Công Thương</t>
  </si>
  <si>
    <t>Ủy ban Mặt trận Tổ quốc Viêt Nam tỉnh</t>
  </si>
  <si>
    <t>Ban Dân vận Tỉnh ủy</t>
  </si>
  <si>
    <t>Sở Giao thông Vận tải</t>
  </si>
  <si>
    <t>Ngân hàng Nhà nước Việt Nam - Chi nhánh tỉnh Kon Tum</t>
  </si>
  <si>
    <t>Ban quản lý Vườn quốc gia Chư Mom Ray</t>
  </si>
  <si>
    <t>Công ty TNHH MTV Lâm nghiệp Kon Plông</t>
  </si>
  <si>
    <t>Bộ Chỉ huy Biên phòng tỉnh</t>
  </si>
  <si>
    <t>Bộ Chỉ huy Quân sự tỉnh</t>
  </si>
  <si>
    <t>Chương trình mục tiêu quốc gia phát triển kinh tế - xã hội vùng đồng bào dân tộc thiểu số và miền núi giai đoạn 2021-2030, giai đoạn I: 2021 - 2025</t>
  </si>
  <si>
    <t>18=19+22</t>
  </si>
  <si>
    <t>19=20+21</t>
  </si>
  <si>
    <t>22=23+24</t>
  </si>
  <si>
    <t>2=5+12+19</t>
  </si>
  <si>
    <t>3=8+15+22</t>
  </si>
  <si>
    <t>25=26+27</t>
  </si>
  <si>
    <t>26=29+36+43</t>
  </si>
  <si>
    <t>27=32+39+46</t>
  </si>
  <si>
    <t>28=29+32</t>
  </si>
  <si>
    <t>29=30+31</t>
  </si>
  <si>
    <t>32=33+34</t>
  </si>
  <si>
    <t>35=36+39</t>
  </si>
  <si>
    <t>36=37+38</t>
  </si>
  <si>
    <t>39=40+41</t>
  </si>
  <si>
    <t>42=43+46</t>
  </si>
  <si>
    <t>43=44+45</t>
  </si>
  <si>
    <t>46=47+48</t>
  </si>
  <si>
    <t>49=25/1</t>
  </si>
  <si>
    <t>50=26/2</t>
  </si>
  <si>
    <t>51=27/3</t>
  </si>
  <si>
    <t>52=28/4</t>
  </si>
  <si>
    <t>53=29/5</t>
  </si>
  <si>
    <t>54=30/6</t>
  </si>
  <si>
    <t>55=31/7</t>
  </si>
  <si>
    <t>56=32/8</t>
  </si>
  <si>
    <t>57=33/9</t>
  </si>
  <si>
    <t>58=34/10</t>
  </si>
  <si>
    <t>59=35/11</t>
  </si>
  <si>
    <t>60=36/12</t>
  </si>
  <si>
    <t>61=37/13</t>
  </si>
  <si>
    <t>62=38/14</t>
  </si>
  <si>
    <t>63=39/15</t>
  </si>
  <si>
    <t>64=40/16</t>
  </si>
  <si>
    <t>65=41/17</t>
  </si>
  <si>
    <t>66=42/18</t>
  </si>
  <si>
    <t>67=43/19</t>
  </si>
  <si>
    <t>68=44/20</t>
  </si>
  <si>
    <t>69=45/21</t>
  </si>
  <si>
    <t>70=46/22</t>
  </si>
  <si>
    <t>71=47/23</t>
  </si>
  <si>
    <t>72=48/24</t>
  </si>
  <si>
    <t>3.3</t>
  </si>
  <si>
    <t>8.4</t>
  </si>
  <si>
    <t>8.5</t>
  </si>
  <si>
    <t>8.6</t>
  </si>
  <si>
    <t>8.7</t>
  </si>
  <si>
    <t>Trong đó: Hỗ trợ từ NSĐP (nếu có)</t>
  </si>
  <si>
    <t>Trung tâm Huấn luyện và TĐTDTT</t>
  </si>
  <si>
    <t>Trung tâm Văn hóa-Nghệ thuật tỉnh</t>
  </si>
  <si>
    <t>Bảo tàng-Thư viện</t>
  </si>
  <si>
    <t>Trường PT DTNT Sa Thầy</t>
  </si>
  <si>
    <t>Trường PT DTNT Đắk Tô</t>
  </si>
  <si>
    <t>Trường PT DTNT Kon PLông</t>
  </si>
  <si>
    <t>Trường PT DTNT Đắk Glei</t>
  </si>
  <si>
    <t>Trường PT DTNT Đắk Hà</t>
  </si>
  <si>
    <t>Trường PT DTNT Tu Mơ Rông</t>
  </si>
  <si>
    <t>Trường PT DTNT Kon Rẫy</t>
  </si>
  <si>
    <t>Trường THPT Chu Văn An</t>
  </si>
  <si>
    <t>Trường THPT Quang Trung</t>
  </si>
  <si>
    <t>Trường THPT Lương Thế Vinh</t>
  </si>
  <si>
    <t>Trường THPT Ngô Mây</t>
  </si>
  <si>
    <t>Trường THPT Phan Chu Trinh</t>
  </si>
  <si>
    <t>Trường THPT Phan Bội Châu</t>
  </si>
  <si>
    <t>Trường PTTHDTNT tỉnh</t>
  </si>
  <si>
    <t>Phân hiệu Trường PTDTNT tỉnh tại Huyện Ia H’Drai</t>
  </si>
  <si>
    <t>Trường THPT Nguyễn Trãi</t>
  </si>
  <si>
    <t>Phân hiệu Trường THPT Lương Thế Vinh</t>
  </si>
  <si>
    <t>Trung tâm Kiểm nghiệm thuốc, mỹ phẩm, thực phẩm</t>
  </si>
  <si>
    <t>Trường Mầm non THSP Kon Tum</t>
  </si>
  <si>
    <t>Trường Tiểu học THSP Ngụy Như Kon Tum</t>
  </si>
  <si>
    <t>Trường THCS THSP Lý Tự Trọng</t>
  </si>
  <si>
    <t>Trường THPT Kon Tum</t>
  </si>
  <si>
    <t>Trường THPT Lê Lợi</t>
  </si>
  <si>
    <t>Trường THPT Trần Quốc Tuấn</t>
  </si>
  <si>
    <t>Trường THPT Chuyên Nguyễn Tất Thành</t>
  </si>
  <si>
    <t>Trường THPT Nguyễn Văn Cừ</t>
  </si>
  <si>
    <t>Trường THPT Duy Tân</t>
  </si>
  <si>
    <t>Trường THPT Nguyễn Du</t>
  </si>
  <si>
    <t>Trường THPT Trường Chinh</t>
  </si>
  <si>
    <t>Trung tâm Giáo dục thường xuyên tỉnh Kon Tum</t>
  </si>
  <si>
    <t>Trường THCS và THPT Liên Việt Kon Tum</t>
  </si>
  <si>
    <t>Trung tâm quan trắc Tài nguyên và Môi trường</t>
  </si>
  <si>
    <t>Trung tâm Nước sạch và vệ sinh môi trường nông thôn</t>
  </si>
  <si>
    <t>BQL rừng phòng hộ Tu Mơ Rông</t>
  </si>
  <si>
    <t>BQL rừng phòng hộ Đăk Hà</t>
  </si>
  <si>
    <t>BQL rừng phòng hộ Kon Rẫy</t>
  </si>
  <si>
    <t>BQL Khu Bảo tồn thiên nhiên Ngọc Linh</t>
  </si>
  <si>
    <t>Bệnh viện Đa khoa khu vực Ngọc Hồi</t>
  </si>
  <si>
    <t>Bệnh viện Y dược cổ truyển - Phục hồi chức năng</t>
  </si>
  <si>
    <t>Trung tâm Kiểm soát bệnh tật</t>
  </si>
  <si>
    <t>Trung tâm Giám định y khoa</t>
  </si>
  <si>
    <t>Trung tâm Pháp y tỉnh</t>
  </si>
  <si>
    <t>Trung tâm Y tế huyện Đăk Glei</t>
  </si>
  <si>
    <t>Trung tâm Y tế huyện Đăk Tô</t>
  </si>
  <si>
    <t>Trung tâm Y tế huyện Đăk Hà</t>
  </si>
  <si>
    <t>Trung tâm Y tế huyện Kon Plong</t>
  </si>
  <si>
    <t>Trung tâm Y tế huyện Kon Rẫy</t>
  </si>
  <si>
    <t>Trung tâm Y tế huyện Sa Thầy</t>
  </si>
  <si>
    <t>Trung tâm Y tế huyện Tu Mơ Rông</t>
  </si>
  <si>
    <t>Trung tâm Y tế huyện Ngọc Hồi</t>
  </si>
  <si>
    <t>Trung tâm Y tế huyện Ia H'Drai</t>
  </si>
  <si>
    <t>Trung tâm Y tế Thành phố</t>
  </si>
  <si>
    <t>Bệnh viện Đa khoa tỉnh</t>
  </si>
  <si>
    <t xml:space="preserve">Vốn trong nước </t>
  </si>
  <si>
    <t>QUYẾT TOÁN CHI NGÂN SÁCH TỈNH THEO CHO TỪNG CƠ QUAN, TỔ CHỨC NĂM 2022</t>
  </si>
  <si>
    <t>QUYẾT TOÁN CHI NGÂN SÁCH CẤP TỈNH THEO CHO TỪNG CƠ QUAN, TỔ CHỨC NĂM 2022</t>
  </si>
  <si>
    <t>Ban Quản lý dự án đầu tư xây dựng các công trình giao thông, dân dụng và công nghiệp tỉnh Kon Tum</t>
  </si>
  <si>
    <t>Ban quản lý DA chuyển đổi NN bền vững tỉnh Kon Tum  (VnSat)</t>
  </si>
  <si>
    <t>Công ty Đầu tư phát triển hạ tầng Khu kinh tế tỉnh</t>
  </si>
  <si>
    <t>Trung tâm nước sinh hoạt và VSMT nông thôn</t>
  </si>
  <si>
    <t>Trung tâm phát triển quỹ đất tỉnh</t>
  </si>
  <si>
    <t>Đảng ủy khối Cơ quan và doanh nghiệp tỉnh Kon Tum</t>
  </si>
  <si>
    <t>BQL Khu BTTN Ngọc Linh</t>
  </si>
  <si>
    <t>84</t>
  </si>
  <si>
    <t>Bảo vệ và quản lý tổng hợp các hệ sinh thái rừng thuộc các tỉnh Quảng Nam, Kon Tum  và Gia Lai ( gọi tắt là dự án KfW 10 tỉnh Kon Tum )</t>
  </si>
  <si>
    <t>85</t>
  </si>
  <si>
    <t>CHI BỔ SUNG QUỸ DỰ TRỮ TÀI CHÍNH, CHI DỰ PHÒNG, CHI BSMT CHO NGÂN SÁCH HUYỆN; CHI TỪ NGUỒN GIAO TĂNG THU SO DỰ TOÁN TRUNG ƯƠNG GIAO</t>
  </si>
  <si>
    <r>
      <t>Ghi chú:</t>
    </r>
    <r>
      <rPr>
        <i/>
        <sz val="10"/>
        <rFont val="Times New Roman"/>
        <family val="1"/>
      </rPr>
      <t xml:space="preserve"> (1) Theo quy định tại Điều 7, Điều 39 Luật NSNN, ngân sách huyện, xã không có nhiệm vụ chi nghiên cứu khoa học và công nghệ.</t>
    </r>
  </si>
  <si>
    <t>Vay lại từ nguồn Chính phủ vay ngoài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</si>
</sst>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0.0"/>
    <numFmt numFmtId="169" formatCode="_(* #,##0.00_);_(* \(#,##0.00\);_(* \-??_);_(@_)"/>
    <numFmt numFmtId="170" formatCode="_(* #,##0_);_(* \(#,##0\);_(* &quot;-&quot;??_);_(@_)"/>
    <numFmt numFmtId="171" formatCode="_-* #,##0_-;\-* #,##0_-;_-* &quot;-&quot;??_-;_-@_-"/>
    <numFmt numFmtId="172" formatCode="_(* #,##0.0_);_(* \(#,##0.0\);_(* &quot;-&quot;??_);_(@_)"/>
    <numFmt numFmtId="173" formatCode="_-* #,##0\ _₫_-;\-* #,##0\ _₫_-;_-* &quot;-&quot;??\ _₫_-;_-@_-"/>
    <numFmt numFmtId="174" formatCode="#,##0_ ;\-#,##0\ "/>
    <numFmt numFmtId="175" formatCode="_(* #,##0_);_(* \(#,##0\);_(* \-??_);_(@_)"/>
    <numFmt numFmtId="176" formatCode="_-&quot;$&quot;* #,##0_-;\-&quot;$&quot;* #,##0_-;_-&quot;$&quot;* &quot;-&quot;_-;_-@_-"/>
    <numFmt numFmtId="177" formatCode="_(&quot;£&quot;\ * #,##0_);_(&quot;£&quot;\ * \(#,##0\);_(&quot;£&quot;\ * &quot;-&quot;_);_(@_)"/>
    <numFmt numFmtId="178" formatCode="&quot;€&quot;###,0&quot;.&quot;00_);\(&quot;€&quot;###,0&quot;.&quot;00\)"/>
    <numFmt numFmtId="179" formatCode="&quot;\&quot;#,##0;[Red]&quot;\&quot;&quot;\&quot;\-#,##0"/>
    <numFmt numFmtId="180" formatCode="_-&quot;£&quot;* #,##0_-;\-&quot;£&quot;* #,##0_-;_-&quot;£&quot;* &quot;-&quot;_-;_-@_-"/>
    <numFmt numFmtId="181" formatCode="_-&quot;£&quot;* #,##0.00_-;\-&quot;£&quot;* #,##0.00_-;_-&quot;£&quot;* &quot;-&quot;??_-;_-@_-"/>
    <numFmt numFmtId="182" formatCode="#.##00"/>
    <numFmt numFmtId="183" formatCode="_-* #,##0\ &quot;€&quot;_-;\-* #,##0\ &quot;€&quot;_-;_-* &quot;-&quot;\ &quot;€&quot;_-;_-@_-"/>
    <numFmt numFmtId="184" formatCode="_-* #,##0\ _F_-;\-* #,##0\ _F_-;_-* &quot;-&quot;\ _F_-;_-@_-"/>
    <numFmt numFmtId="185" formatCode="_-* #,##0\ &quot;F&quot;_-;\-* #,##0\ &quot;F&quot;_-;_-* &quot;-&quot;\ &quot;F&quot;_-;_-@_-"/>
    <numFmt numFmtId="186" formatCode="_-* #,##0&quot;$&quot;_-;_-* #,##0&quot;$&quot;\-;_-* &quot;-&quot;&quot;$&quot;_-;_-@_-"/>
    <numFmt numFmtId="187" formatCode="_-* #,##0\ &quot;$&quot;_-;\-* #,##0\ &quot;$&quot;_-;_-* &quot;-&quot;\ &quot;$&quot;_-;_-@_-"/>
    <numFmt numFmtId="188" formatCode="_-&quot;$&quot;* #,##0.00_-;\-&quot;$&quot;* #,##0.00_-;_-&quot;$&quot;* &quot;-&quot;??_-;_-@_-"/>
    <numFmt numFmtId="189" formatCode="_-&quot;ñ&quot;* #,##0_-;\-&quot;ñ&quot;* #,##0_-;_-&quot;ñ&quot;* &quot;-&quot;_-;_-@_-"/>
    <numFmt numFmtId="190" formatCode="0.0000"/>
    <numFmt numFmtId="191" formatCode="_-&quot;€&quot;* #,##0_-;\-&quot;€&quot;* #,##0_-;_-&quot;€&quot;* &quot;-&quot;_-;_-@_-"/>
    <numFmt numFmtId="192" formatCode="_-* ###,0&quot;.&quot;00_-;\-* ###,0&quot;.&quot;00_-;_-* &quot;-&quot;??_-;_-@_-"/>
    <numFmt numFmtId="193" formatCode="_-* #,##0.00\ _F_-;\-* #,##0.00\ _F_-;_-* &quot;-&quot;??\ _F_-;_-@_-"/>
    <numFmt numFmtId="194" formatCode="_ * #,##0.00_ ;_ * \-#,##0.00_ ;_ * &quot;-&quot;??_ ;_ @_ "/>
    <numFmt numFmtId="195" formatCode="_-* #,##0.00\ _V_N_D_-;\-* #,##0.00\ _V_N_D_-;_-* &quot;-&quot;??\ _V_N_D_-;_-@_-"/>
    <numFmt numFmtId="196" formatCode="_-* #,##0.00\ _V_N_Ñ_-;_-* #,##0.00\ _V_N_Ñ\-;_-* &quot;-&quot;??\ _V_N_Ñ_-;_-@_-"/>
    <numFmt numFmtId="197" formatCode="_-* #,##0.00\ _€_-;\-* #,##0.00\ _€_-;_-* &quot;-&quot;??\ _€_-;_-@_-"/>
    <numFmt numFmtId="198" formatCode="_-* #,##0.00_$_-;_-* #,##0.00_$\-;_-* &quot;-&quot;??_$_-;_-@_-"/>
    <numFmt numFmtId="199" formatCode="_(* ###,0&quot;.&quot;00_);_(* \(###,0&quot;.&quot;00\);_(* &quot;-&quot;??_);_(@_)"/>
    <numFmt numFmtId="200" formatCode="&quot;£&quot;#,##0;[Red]\-&quot;£&quot;#,##0"/>
    <numFmt numFmtId="201" formatCode="_-* #,##0.00\ _ñ_-;\-* #,##0.00\ _ñ_-;_-* &quot;-&quot;??\ _ñ_-;_-@_-"/>
    <numFmt numFmtId="202" formatCode="0.00000"/>
    <numFmt numFmtId="203" formatCode="#,##0.00\ &quot;F&quot;;\-#,##0.00\ &quot;F&quot;"/>
    <numFmt numFmtId="204" formatCode="&quot;$&quot;#,##0;[Red]\-&quot;$&quot;#,##0"/>
    <numFmt numFmtId="205" formatCode="_(&quot;$&quot;\ * #,##0_);_(&quot;$&quot;\ * \(#,##0\);_(&quot;$&quot;\ * &quot;-&quot;_);_(@_)"/>
    <numFmt numFmtId="206" formatCode="&quot;$&quot;#,##0.00;[Red]\-&quot;$&quot;#,##0.00"/>
    <numFmt numFmtId="207" formatCode="_-* #,##0\ &quot;ñ&quot;_-;\-* #,##0\ &quot;ñ&quot;_-;_-* &quot;-&quot;\ &quot;ñ&quot;_-;_-@_-"/>
    <numFmt numFmtId="208" formatCode="0.0000000"/>
    <numFmt numFmtId="209" formatCode="#,##0.0"/>
    <numFmt numFmtId="210" formatCode="_(&quot;€&quot;* #,##0_);_(&quot;€&quot;* \(#,##0\);_(&quot;€&quot;* &quot;-&quot;_);_(@_)"/>
    <numFmt numFmtId="211" formatCode="_ * #,##0_ ;_ * \-#,##0_ ;_ * &quot;-&quot;_ ;_ @_ "/>
    <numFmt numFmtId="212" formatCode="_-* #,##0\ _V_N_D_-;\-* #,##0\ _V_N_D_-;_-* &quot;-&quot;\ _V_N_D_-;_-@_-"/>
    <numFmt numFmtId="213" formatCode="_-* #,##0\ _V_N_Ñ_-;_-* #,##0\ _V_N_Ñ\-;_-* &quot;-&quot;\ _V_N_Ñ_-;_-@_-"/>
    <numFmt numFmtId="214" formatCode="_-* #,##0\ _€_-;\-* #,##0\ _€_-;_-* &quot;-&quot;\ _€_-;_-@_-"/>
    <numFmt numFmtId="215" formatCode="_-* #,##0_$_-;_-* #,##0_$\-;_-* &quot;-&quot;_$_-;_-@_-"/>
    <numFmt numFmtId="216" formatCode="_-* #,##0\ _$_-;\-* #,##0\ _$_-;_-* &quot;-&quot;\ _$_-;_-@_-"/>
    <numFmt numFmtId="217" formatCode="_-* #,##0\ _m_k_-;\-* #,##0\ _m_k_-;_-* &quot;-&quot;\ _m_k_-;_-@_-"/>
    <numFmt numFmtId="218" formatCode="&quot;£&quot;#,##0;\-&quot;£&quot;#,##0"/>
    <numFmt numFmtId="219" formatCode="_-* #,##0\ _ñ_-;\-* #,##0\ _ñ_-;_-* &quot;-&quot;\ _ñ_-;_-@_-"/>
    <numFmt numFmtId="220" formatCode="0.000000"/>
    <numFmt numFmtId="221" formatCode="#,##0.0_);[Red]\(#,##0.0\)"/>
    <numFmt numFmtId="222" formatCode="_ &quot;\&quot;* #,##0_ ;_ &quot;\&quot;* \-#,##0_ ;_ &quot;\&quot;* &quot;-&quot;_ ;_ @_ "/>
    <numFmt numFmtId="223" formatCode="&quot;\&quot;#,##0.00;[Red]&quot;\&quot;\-#,##0.00"/>
    <numFmt numFmtId="224" formatCode="&quot;\&quot;#,##0;[Red]&quot;\&quot;\-#,##0"/>
    <numFmt numFmtId="225" formatCode="&quot;SFr.&quot;\ #,##0.00;[Red]&quot;SFr.&quot;\ \-#,##0.00"/>
    <numFmt numFmtId="226" formatCode="&quot;SFr.&quot;\ #,##0.00;&quot;SFr.&quot;\ \-#,##0.00"/>
    <numFmt numFmtId="227" formatCode="_ &quot;SFr.&quot;\ * #,##0_ ;_ &quot;SFr.&quot;\ * \-#,##0_ ;_ &quot;SFr.&quot;\ * &quot;-&quot;_ ;_ @_ "/>
    <numFmt numFmtId="228" formatCode="#,##0.0_);\(#,##0.0\)"/>
    <numFmt numFmtId="229" formatCode="_(* #,##0.0000_);_(* \(#,##0.0000\);_(* &quot;-&quot;??_);_(@_)"/>
    <numFmt numFmtId="230" formatCode="0.0%;[Red]\(0.0%\)"/>
    <numFmt numFmtId="231" formatCode="_ * #,##0.00_)&quot;£&quot;_ ;_ * \(#,##0.00\)&quot;£&quot;_ ;_ * &quot;-&quot;??_)&quot;£&quot;_ ;_ @_ "/>
    <numFmt numFmtId="232" formatCode="0.0%;\(0.0%\)"/>
    <numFmt numFmtId="233" formatCode="_-* #,##0.00\ &quot;F&quot;_-;\-* #,##0.00\ &quot;F&quot;_-;_-* &quot;-&quot;??\ &quot;F&quot;_-;_-@_-"/>
    <numFmt numFmtId="234" formatCode="0.000_)"/>
    <numFmt numFmtId="235" formatCode="_(* #,##0_);_(* \(#,##0\);_(* \-_);_(@_)"/>
    <numFmt numFmtId="236" formatCode="#,##0.00;[Red]#,##0.00"/>
    <numFmt numFmtId="237" formatCode="#,##0;\(#,##0\)"/>
    <numFmt numFmtId="238" formatCode="_ &quot;R&quot;\ * #,##0_ ;_ &quot;R&quot;\ * \-#,##0_ ;_ &quot;R&quot;\ * &quot;-&quot;_ ;_ @_ "/>
    <numFmt numFmtId="239" formatCode="\$#,##0\ ;&quot;($&quot;#,##0\)"/>
    <numFmt numFmtId="240" formatCode="\$#,##0\ ;\(\$#,##0\)"/>
    <numFmt numFmtId="241" formatCode="#,##0.000_);\(#,##0.000\)"/>
    <numFmt numFmtId="242" formatCode="\t0.00%"/>
    <numFmt numFmtId="243" formatCode="0.000"/>
    <numFmt numFmtId="244" formatCode="?\,???.??__;[Red]&quot;- &quot;?\,???.??__"/>
    <numFmt numFmtId="245" formatCode="?,???.??__;[Red]\-\ ?,???.??__;"/>
    <numFmt numFmtId="246" formatCode="\U\S\$#,##0.00;\(\U\S\$#,##0.00\)"/>
    <numFmt numFmtId="247" formatCode="_(\§\g\ #,##0_);_(\§\g\ \(#,##0\);_(\§\g\ &quot;-&quot;??_);_(@_)"/>
    <numFmt numFmtId="248" formatCode="_(\§\g\ #,##0_);_(\§\g\ \(#,##0\);_(\§\g\ &quot;-&quot;_);_(@_)"/>
    <numFmt numFmtId="249" formatCode="\t#\ ??/??"/>
    <numFmt numFmtId="250" formatCode="\§\g#,##0_);\(\§\g#,##0\)"/>
    <numFmt numFmtId="251" formatCode="_-&quot;VND&quot;* #,##0_-;\-&quot;VND&quot;* #,##0_-;_-&quot;VND&quot;* &quot;-&quot;_-;_-@_-"/>
    <numFmt numFmtId="252" formatCode="_(&quot;Rp&quot;* #,##0.00_);_(&quot;Rp&quot;* \(#,##0.00\);_(&quot;Rp&quot;* &quot;-&quot;??_);_(@_)"/>
    <numFmt numFmtId="253" formatCode="#,##0.00\ &quot;FB&quot;;[Red]\-#,##0.00\ &quot;FB&quot;"/>
    <numFmt numFmtId="254" formatCode="#,##0\ &quot;$&quot;;\-#,##0\ &quot;$&quot;"/>
    <numFmt numFmtId="255" formatCode="&quot;$&quot;#,##0;\-&quot;$&quot;#,##0"/>
    <numFmt numFmtId="256" formatCode="_-* #,##0\ _F_B_-;\-* #,##0\ _F_B_-;_-* &quot;-&quot;\ _F_B_-;_-@_-"/>
    <numFmt numFmtId="257" formatCode="_-[$€]* #,##0.00_-;\-[$€]* #,##0.00_-;_-[$€]* &quot;-&quot;??_-;_-@_-"/>
    <numFmt numFmtId="258" formatCode="&quot;öS&quot;\ #,##0;[Red]\-&quot;öS&quot;\ #,##0"/>
    <numFmt numFmtId="259" formatCode="&quot;Q&quot;#,##0_);\(&quot;Q&quot;#,##0\)"/>
    <numFmt numFmtId="260" formatCode="#,##0_);\-#,##0_)"/>
    <numFmt numFmtId="261" formatCode="#,###;\-#,###;&quot;&quot;;_(@_)"/>
    <numFmt numFmtId="262" formatCode="_(* #,##0.000000_);_(* \(#,##0.000000\);_(* &quot;-&quot;??_);_(@_)"/>
    <numFmt numFmtId="263" formatCode="#,##0\ &quot;$&quot;_);\(#,##0\ &quot;$&quot;\)"/>
    <numFmt numFmtId="264" formatCode="#,###"/>
    <numFmt numFmtId="265" formatCode="#,##0\ &quot;£&quot;_);[Red]\(#,##0\ &quot;£&quot;\)"/>
    <numFmt numFmtId="266" formatCode="&quot;£&quot;###,0&quot;.&quot;00_);[Red]\(&quot;£&quot;###,0&quot;.&quot;00\)"/>
    <numFmt numFmtId="267" formatCode="&quot;\&quot;#,##0;[Red]\-&quot;\&quot;#,##0"/>
    <numFmt numFmtId="268" formatCode="&quot;\&quot;#,##0.00;\-&quot;\&quot;#,##0.00"/>
    <numFmt numFmtId="269" formatCode="0#,###,#&quot;.&quot;00"/>
    <numFmt numFmtId="270" formatCode="_ * #,##0_)\ &quot;$&quot;_ ;_ * \(#,##0\)\ &quot;$&quot;_ ;_ * &quot;-&quot;_)\ &quot;$&quot;_ ;_ @_ "/>
    <numFmt numFmtId="271" formatCode="&quot;VND&quot;#,##0_);[Red]\(&quot;VND&quot;#,##0\)"/>
    <numFmt numFmtId="272" formatCode="_ * #,##0_)&quot; $&quot;_ ;_ * \(#,##0&quot;) $&quot;_ ;_ * \-_)&quot; $&quot;_ ;_ @_ "/>
    <numFmt numFmtId="273" formatCode="#,##0.00_);\-#,##0.00_)"/>
    <numFmt numFmtId="274" formatCode="#"/>
    <numFmt numFmtId="275" formatCode="#,##0.0000"/>
    <numFmt numFmtId="276" formatCode="&quot;¡Ì&quot;#,##0;[Red]\-&quot;¡Ì&quot;#,##0"/>
    <numFmt numFmtId="277" formatCode="#,##0.00\ &quot;F&quot;;[Red]\-#,##0.00\ &quot;F&quot;"/>
    <numFmt numFmtId="278" formatCode="#,##0.00&quot; F&quot;;[Red]\-#,##0.00&quot; F&quot;"/>
    <numFmt numFmtId="279" formatCode="_-* #,##0.0\ _F_-;\-* #,##0.0\ _F_-;_-* &quot;-&quot;??\ _F_-;_-@_-"/>
    <numFmt numFmtId="280" formatCode="#,##0.00\ \ "/>
    <numFmt numFmtId="281" formatCode="0.00000000"/>
    <numFmt numFmtId="282" formatCode="_ * #,##0.0_ ;_ * \-#,##0.0_ ;_ * &quot;-&quot;??_ ;_ @_ "/>
    <numFmt numFmtId="283" formatCode="#,##0.00\ \ \ \ "/>
    <numFmt numFmtId="284" formatCode="_(* #.##0.00_);_(* \(#.##0.00\);_(* &quot;-&quot;??_);_(@_)"/>
    <numFmt numFmtId="285" formatCode="###\ ###\ ##0"/>
    <numFmt numFmtId="286" formatCode="&quot;\&quot;#,##0;&quot;\&quot;\-#,##0"/>
    <numFmt numFmtId="287" formatCode="_-* ###,0&quot;.&quot;00\ _F_B_-;\-* ###,0&quot;.&quot;00\ _F_B_-;_-* &quot;-&quot;??\ _F_B_-;_-@_-"/>
    <numFmt numFmtId="288" formatCode="\\#,##0;[Red]&quot;-\&quot;#,##0"/>
    <numFmt numFmtId="289" formatCode="_ * #.##._ ;_ * \-#.##._ ;_ * &quot;-&quot;??_ ;_ @_ⴆ"/>
    <numFmt numFmtId="290" formatCode="#,##0\ &quot;F&quot;;\-#,##0\ &quot;F&quot;"/>
    <numFmt numFmtId="291" formatCode="#,##0\ &quot;F&quot;;[Red]\-#,##0\ &quot;F&quot;"/>
    <numFmt numFmtId="292" formatCode="_-* #,##0\ _F_-;\-* #,##0\ _F_-;_-* &quot;-&quot;??\ _F_-;_-@_-"/>
    <numFmt numFmtId="293" formatCode="#.00\ ##0"/>
    <numFmt numFmtId="294" formatCode="#.\ ##0"/>
    <numFmt numFmtId="295" formatCode="_-* #,##0\ &quot;DM&quot;_-;\-* #,##0\ &quot;DM&quot;_-;_-* &quot;-&quot;\ &quot;DM&quot;_-;_-@_-"/>
    <numFmt numFmtId="296" formatCode="_-* #,##0.00\ &quot;DM&quot;_-;\-* #,##0.00\ &quot;DM&quot;_-;_-* &quot;-&quot;??\ &quot;DM&quot;_-;_-@_-"/>
    <numFmt numFmtId="297" formatCode="#,##0.000"/>
    <numFmt numFmtId="298" formatCode="#,##0;[Red]#,##0"/>
    <numFmt numFmtId="299" formatCode="0.0%"/>
    <numFmt numFmtId="300" formatCode="_(* #,##0.00000_);_(* \(#,##0.00000\);_(* &quot;-&quot;??_);_(@_)"/>
    <numFmt numFmtId="301" formatCode="#,##0.00000"/>
    <numFmt numFmtId="302" formatCode="_(* #,##0.000_);_(* \(#,##0.000\);_(* &quot;-&quot;??_);_(@_)"/>
    <numFmt numFmtId="303" formatCode="_-* #,##0.000000\ _₫_-;\-* #,##0.000000\ _₫_-;_-* &quot;-&quot;???\ _₫_-;_-@_-"/>
    <numFmt numFmtId="304" formatCode="_(* #,##0.0000_);_(* \(#,##0.0000\);_(* &quot;-&quot;????_);_(@_)"/>
  </numFmts>
  <fonts count="261">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b/>
      <sz val="12"/>
      <color theme="1"/>
      <name val="Times New Roman"/>
      <family val="1"/>
    </font>
    <font>
      <sz val="12"/>
      <color theme="1"/>
      <name val="Times New Roman"/>
      <family val="1"/>
    </font>
    <font>
      <sz val="8"/>
      <name val="Arial"/>
      <family val="2"/>
    </font>
    <font>
      <b/>
      <sz val="10"/>
      <color rgb="FF000000"/>
      <name val="Times New Roman"/>
      <family val="1"/>
    </font>
    <font>
      <sz val="10"/>
      <color rgb="FF000000"/>
      <name val="Times New Roman"/>
      <family val="1"/>
    </font>
    <font>
      <i/>
      <sz val="10"/>
      <color rgb="FF000000"/>
      <name val="Times New Roman"/>
      <family val="1"/>
    </font>
    <font>
      <sz val="11"/>
      <color theme="1"/>
      <name val="Times New Roman"/>
      <family val="1"/>
    </font>
    <font>
      <b/>
      <i/>
      <sz val="10"/>
      <color rgb="FF000000"/>
      <name val="Times New Roman"/>
      <family val="1"/>
    </font>
    <font>
      <b/>
      <sz val="6"/>
      <color rgb="FF00000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sz val="12"/>
      <color theme="1"/>
      <name val="Times New Roman"/>
      <family val="2"/>
    </font>
    <font>
      <sz val="11"/>
      <name val="Times New Roman"/>
      <family val="1"/>
    </font>
    <font>
      <i/>
      <sz val="11"/>
      <name val="Times New Roman"/>
      <family val="1"/>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z val="10"/>
      <color theme="1"/>
      <name val="Times New Roman"/>
      <family val="1"/>
    </font>
    <font>
      <sz val="10"/>
      <color theme="1"/>
      <name val="Times New Roman"/>
      <family val="1"/>
    </font>
    <font>
      <b/>
      <sz val="11"/>
      <color theme="1"/>
      <name val="Times New Roman"/>
      <family val="1"/>
    </font>
    <font>
      <i/>
      <sz val="10"/>
      <name val="Times New Roman"/>
      <family val="1"/>
    </font>
    <font>
      <i/>
      <sz val="11"/>
      <color theme="1"/>
      <name val="Times New Roman"/>
      <family val="1"/>
    </font>
    <font>
      <strike/>
      <sz val="13"/>
      <name val="Times New Roman"/>
      <family val="1"/>
    </font>
    <font>
      <b/>
      <sz val="14"/>
      <name val="Times New Roman"/>
      <family val="1"/>
    </font>
    <font>
      <sz val="14"/>
      <name val="Times New Roman"/>
      <family val="1"/>
    </font>
    <font>
      <sz val="13"/>
      <name val="Times New Roman"/>
      <family val="1"/>
    </font>
    <font>
      <sz val="14"/>
      <color theme="1"/>
      <name val="Times New Roman"/>
      <family val="1"/>
    </font>
    <font>
      <sz val="14"/>
      <color rgb="FFFF0000"/>
      <name val="Times New Roman"/>
      <family val="1"/>
    </font>
    <font>
      <sz val="11"/>
      <color rgb="FF7030A0"/>
      <name val="Times New Roman"/>
      <family val="1"/>
    </font>
    <font>
      <b/>
      <sz val="12"/>
      <name val="Times New Roman"/>
      <family val="1"/>
    </font>
    <font>
      <b/>
      <sz val="9"/>
      <name val="Times New Roman"/>
      <family val="1"/>
    </font>
    <font>
      <sz val="9"/>
      <name val="Times New Roman"/>
      <family val="1"/>
    </font>
    <font>
      <b/>
      <sz val="9"/>
      <color indexed="81"/>
      <name val="Tahoma"/>
      <family val="2"/>
    </font>
    <font>
      <i/>
      <sz val="10"/>
      <color theme="1"/>
      <name val="Times New Roman"/>
      <family val="1"/>
    </font>
    <font>
      <sz val="10"/>
      <name val="Times New Roman"/>
      <family val="1"/>
      <charset val="163"/>
    </font>
    <font>
      <sz val="8"/>
      <name val="Calibri"/>
      <family val="2"/>
      <scheme val="minor"/>
    </font>
    <font>
      <sz val="11"/>
      <color rgb="FFFF0000"/>
      <name val="Times New Roman"/>
      <family val="1"/>
    </font>
    <font>
      <b/>
      <i/>
      <sz val="12"/>
      <name val="Times New Roman"/>
      <family val="1"/>
    </font>
    <font>
      <b/>
      <i/>
      <sz val="10"/>
      <name val="Times New Roman"/>
      <family val="1"/>
    </font>
    <font>
      <b/>
      <sz val="11"/>
      <name val="Times New Roman"/>
      <family val="1"/>
      <charset val="163"/>
    </font>
    <font>
      <sz val="11"/>
      <name val="Times New Roman"/>
      <family val="1"/>
      <charset val="163"/>
    </font>
    <font>
      <b/>
      <sz val="10"/>
      <name val="Times New Roman"/>
      <family val="1"/>
      <charset val="163"/>
    </font>
    <font>
      <i/>
      <sz val="10"/>
      <name val="Arial"/>
      <family val="2"/>
      <charset val="163"/>
    </font>
    <font>
      <b/>
      <i/>
      <sz val="10"/>
      <name val="Times New Roman"/>
      <family val="1"/>
      <charset val="163"/>
    </font>
    <font>
      <i/>
      <sz val="10"/>
      <name val="Times New Roman"/>
      <family val="1"/>
      <charset val="163"/>
    </font>
    <font>
      <b/>
      <sz val="13"/>
      <name val="Times New Roman"/>
      <family val="1"/>
    </font>
    <font>
      <i/>
      <sz val="13"/>
      <name val="Times New Roman"/>
      <family val="1"/>
    </font>
    <font>
      <i/>
      <sz val="10"/>
      <name val="Arial"/>
      <family val="2"/>
    </font>
    <font>
      <sz val="11"/>
      <name val="Calibri"/>
      <family val="2"/>
      <scheme val="minor"/>
    </font>
    <font>
      <b/>
      <i/>
      <sz val="11"/>
      <name val="Times New Roman"/>
      <family val="1"/>
    </font>
    <font>
      <i/>
      <sz val="13"/>
      <color rgb="FFFF0000"/>
      <name val="Times New Roman"/>
      <family val="1"/>
    </font>
    <font>
      <sz val="12"/>
      <color rgb="FF0000FF"/>
      <name val="Times New Roman"/>
      <family val="1"/>
    </font>
    <font>
      <sz val="12"/>
      <color theme="0"/>
      <name val="Times New Roman"/>
      <family val="1"/>
    </font>
    <font>
      <sz val="12"/>
      <color rgb="FFFF0000"/>
      <name val="Times New Roman"/>
      <family val="1"/>
    </font>
    <font>
      <sz val="13"/>
      <color rgb="FFFF0000"/>
      <name val="Times New Roman"/>
      <family val="1"/>
    </font>
    <font>
      <b/>
      <i/>
      <sz val="14"/>
      <name val="Times New Roman"/>
      <family val="1"/>
    </font>
    <font>
      <i/>
      <sz val="12"/>
      <color theme="1"/>
      <name val="Times New Roman"/>
      <family val="1"/>
    </font>
    <font>
      <i/>
      <sz val="12"/>
      <name val="Times New Roman"/>
      <family val="1"/>
    </font>
    <font>
      <sz val="10"/>
      <name val="Arial"/>
    </font>
    <font>
      <sz val="10"/>
      <name val="Arial"/>
      <family val="2"/>
      <charset val="163"/>
    </font>
    <font>
      <sz val="10"/>
      <color theme="1"/>
      <name val="Arial Narrow"/>
      <family val="2"/>
    </font>
  </fonts>
  <fills count="7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auto="1"/>
      </left>
      <right style="thin">
        <color auto="1"/>
      </right>
      <top style="hair">
        <color auto="1"/>
      </top>
      <bottom/>
      <diagonal/>
    </border>
    <border>
      <left style="thin">
        <color auto="1"/>
      </left>
      <right style="thin">
        <color indexed="64"/>
      </right>
      <top style="hair">
        <color auto="1"/>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s>
  <cellStyleXfs count="2380">
    <xf numFmtId="0" fontId="0" fillId="0" borderId="0"/>
    <xf numFmtId="43" fontId="14" fillId="0" borderId="0" applyFont="0" applyFill="0" applyBorder="0" applyAlignment="0" applyProtection="0"/>
    <xf numFmtId="169" fontId="15" fillId="0" borderId="0" applyFill="0" applyBorder="0" applyAlignment="0" applyProtection="0"/>
    <xf numFmtId="43" fontId="15" fillId="0" borderId="0" applyFont="0" applyFill="0" applyBorder="0" applyAlignment="0" applyProtection="0"/>
    <xf numFmtId="0" fontId="15" fillId="0" borderId="0"/>
    <xf numFmtId="167" fontId="14" fillId="0" borderId="0" applyFont="0" applyFill="0" applyBorder="0" applyAlignment="0" applyProtection="0"/>
    <xf numFmtId="0" fontId="15" fillId="0" borderId="0"/>
    <xf numFmtId="0" fontId="18" fillId="0" borderId="0"/>
    <xf numFmtId="0" fontId="18" fillId="0" borderId="0"/>
    <xf numFmtId="169" fontId="15" fillId="0" borderId="0" applyFill="0" applyBorder="0" applyAlignment="0" applyProtection="0"/>
    <xf numFmtId="176" fontId="21" fillId="0" borderId="0" applyFont="0" applyFill="0" applyBorder="0" applyAlignment="0" applyProtection="0"/>
    <xf numFmtId="0" fontId="22" fillId="0" borderId="0" applyNumberFormat="0" applyFill="0" applyBorder="0" applyAlignment="0" applyProtection="0"/>
    <xf numFmtId="3" fontId="23" fillId="0" borderId="1"/>
    <xf numFmtId="3" fontId="23" fillId="0" borderId="1"/>
    <xf numFmtId="3" fontId="23" fillId="0" borderId="1"/>
    <xf numFmtId="3" fontId="23" fillId="0" borderId="1"/>
    <xf numFmtId="3" fontId="23" fillId="0" borderId="1"/>
    <xf numFmtId="3" fontId="23" fillId="0" borderId="1"/>
    <xf numFmtId="170" fontId="24" fillId="0" borderId="20" applyFont="0" applyBorder="0"/>
    <xf numFmtId="170" fontId="24" fillId="0" borderId="20" applyFont="0" applyBorder="0"/>
    <xf numFmtId="175" fontId="25" fillId="0" borderId="0" applyBorder="0"/>
    <xf numFmtId="170" fontId="24" fillId="0" borderId="20" applyFont="0" applyBorder="0"/>
    <xf numFmtId="170" fontId="24" fillId="0" borderId="20" applyFont="0" applyBorder="0"/>
    <xf numFmtId="0" fontId="26" fillId="0" borderId="0"/>
    <xf numFmtId="177" fontId="27"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8" fontId="16" fillId="0" borderId="0" applyFont="0" applyFill="0" applyBorder="0" applyAlignment="0" applyProtection="0"/>
    <xf numFmtId="179"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9" fillId="0" borderId="0" applyFont="0" applyFill="0" applyBorder="0" applyAlignment="0" applyProtection="0"/>
    <xf numFmtId="0" fontId="30" fillId="0" borderId="21"/>
    <xf numFmtId="180" fontId="31" fillId="0" borderId="0" applyFont="0" applyFill="0" applyBorder="0" applyAlignment="0" applyProtection="0"/>
    <xf numFmtId="181" fontId="31" fillId="0" borderId="0" applyFont="0" applyFill="0" applyBorder="0" applyAlignment="0" applyProtection="0"/>
    <xf numFmtId="182" fontId="26"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6" fontId="33" fillId="0" borderId="0" applyFont="0" applyFill="0" applyBorder="0" applyAlignment="0" applyProtection="0"/>
    <xf numFmtId="0" fontId="3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xf numFmtId="0" fontId="15" fillId="0" borderId="0" applyNumberFormat="0" applyFill="0" applyBorder="0" applyAlignment="0" applyProtection="0"/>
    <xf numFmtId="164" fontId="22" fillId="0" borderId="0" applyFont="0" applyFill="0" applyBorder="0" applyAlignment="0" applyProtection="0"/>
    <xf numFmtId="42"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0" fontId="37" fillId="0" borderId="0"/>
    <xf numFmtId="0" fontId="37" fillId="0" borderId="0"/>
    <xf numFmtId="0" fontId="37" fillId="0" borderId="0"/>
    <xf numFmtId="184" fontId="22" fillId="0" borderId="0" applyFont="0" applyFill="0" applyBorder="0" applyAlignment="0" applyProtection="0"/>
    <xf numFmtId="42" fontId="36" fillId="0" borderId="0" applyFont="0" applyFill="0" applyBorder="0" applyAlignment="0" applyProtection="0"/>
    <xf numFmtId="0" fontId="37" fillId="0" borderId="0"/>
    <xf numFmtId="0" fontId="28" fillId="0" borderId="0"/>
    <xf numFmtId="0" fontId="38" fillId="0" borderId="0">
      <alignment vertical="top"/>
    </xf>
    <xf numFmtId="0" fontId="38" fillId="0" borderId="0">
      <alignment vertical="top"/>
    </xf>
    <xf numFmtId="42"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85" fontId="21" fillId="0" borderId="0" applyFont="0" applyFill="0" applyBorder="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185" fontId="21" fillId="0" borderId="0" applyFont="0" applyFill="0" applyBorder="0" applyAlignment="0" applyProtection="0"/>
    <xf numFmtId="0" fontId="28" fillId="0" borderId="0"/>
    <xf numFmtId="0" fontId="38" fillId="0" borderId="0">
      <alignment vertical="top"/>
    </xf>
    <xf numFmtId="0" fontId="38" fillId="0" borderId="0">
      <alignment vertical="top"/>
    </xf>
    <xf numFmtId="42" fontId="36" fillId="0" borderId="0" applyFont="0" applyFill="0" applyBorder="0" applyAlignment="0" applyProtection="0"/>
    <xf numFmtId="42"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xf numFmtId="0" fontId="28" fillId="0" borderId="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8" fillId="0" borderId="0"/>
    <xf numFmtId="0" fontId="28" fillId="0" borderId="0"/>
    <xf numFmtId="0" fontId="37" fillId="0" borderId="0"/>
    <xf numFmtId="42" fontId="36" fillId="0" borderId="0" applyFont="0" applyFill="0" applyBorder="0" applyAlignment="0" applyProtection="0"/>
    <xf numFmtId="171" fontId="21" fillId="0" borderId="0" applyFont="0" applyFill="0" applyBorder="0" applyAlignment="0" applyProtection="0"/>
    <xf numFmtId="180" fontId="36"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8" fontId="40"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15" fillId="0" borderId="0" applyFont="0" applyFill="0" applyBorder="0" applyAlignment="0" applyProtection="0"/>
    <xf numFmtId="190" fontId="40" fillId="0" borderId="0" applyFont="0" applyFill="0" applyBorder="0" applyAlignment="0" applyProtection="0"/>
    <xf numFmtId="189" fontId="21" fillId="0" borderId="0" applyFont="0" applyFill="0" applyBorder="0" applyAlignment="0" applyProtection="0"/>
    <xf numFmtId="188" fontId="40" fillId="0" borderId="0" applyFont="0" applyFill="0" applyBorder="0" applyAlignment="0" applyProtection="0"/>
    <xf numFmtId="191" fontId="21" fillId="0" borderId="0" applyFont="0" applyFill="0" applyBorder="0" applyAlignment="0" applyProtection="0"/>
    <xf numFmtId="17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64"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5" fillId="0" borderId="0" applyFont="0" applyFill="0" applyBorder="0" applyAlignment="0" applyProtection="0"/>
    <xf numFmtId="165" fontId="40" fillId="0" borderId="0" applyFont="0" applyFill="0" applyBorder="0" applyAlignment="0" applyProtection="0"/>
    <xf numFmtId="201" fontId="36" fillId="0" borderId="0" applyFont="0" applyFill="0" applyBorder="0" applyAlignment="0" applyProtection="0"/>
    <xf numFmtId="164"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64" fontId="21" fillId="0" borderId="0" applyFont="0" applyFill="0" applyBorder="0" applyAlignment="0" applyProtection="0"/>
    <xf numFmtId="180"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42" fontId="36" fillId="0" borderId="0" applyFont="0" applyFill="0" applyBorder="0" applyAlignment="0" applyProtection="0"/>
    <xf numFmtId="171" fontId="21" fillId="0" borderId="0" applyFont="0" applyFill="0" applyBorder="0" applyAlignment="0" applyProtection="0"/>
    <xf numFmtId="42"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5" fillId="0" borderId="0" applyFont="0" applyFill="0" applyBorder="0" applyAlignment="0" applyProtection="0"/>
    <xf numFmtId="164"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210" fontId="36" fillId="0" borderId="0" applyFont="0" applyFill="0" applyBorder="0" applyAlignment="0" applyProtection="0"/>
    <xf numFmtId="42"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64"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5" fillId="0" borderId="0" applyFont="0" applyFill="0" applyBorder="0" applyAlignment="0" applyProtection="0"/>
    <xf numFmtId="165" fontId="40" fillId="0" borderId="0" applyFont="0" applyFill="0" applyBorder="0" applyAlignment="0" applyProtection="0"/>
    <xf numFmtId="201" fontId="36" fillId="0" borderId="0" applyFont="0" applyFill="0" applyBorder="0" applyAlignment="0" applyProtection="0"/>
    <xf numFmtId="164"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84" fontId="21" fillId="0" borderId="0" applyFont="0" applyFill="0" applyBorder="0" applyAlignment="0" applyProtection="0"/>
    <xf numFmtId="166"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5"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42" fontId="36" fillId="0" borderId="0" applyFont="0" applyFill="0" applyBorder="0" applyAlignment="0" applyProtection="0"/>
    <xf numFmtId="171" fontId="21" fillId="0" borderId="0" applyFont="0" applyFill="0" applyBorder="0" applyAlignment="0" applyProtection="0"/>
    <xf numFmtId="42"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5" fillId="0" borderId="0" applyFont="0" applyFill="0" applyBorder="0" applyAlignment="0" applyProtection="0"/>
    <xf numFmtId="164"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210" fontId="36" fillId="0" borderId="0" applyFont="0" applyFill="0" applyBorder="0" applyAlignment="0" applyProtection="0"/>
    <xf numFmtId="164" fontId="21" fillId="0" borderId="0" applyFont="0" applyFill="0" applyBorder="0" applyAlignment="0" applyProtection="0"/>
    <xf numFmtId="42" fontId="36" fillId="0" borderId="0" applyFont="0" applyFill="0" applyBorder="0" applyAlignment="0" applyProtection="0"/>
    <xf numFmtId="165" fontId="21"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84" fontId="21" fillId="0" borderId="0" applyFont="0" applyFill="0" applyBorder="0" applyAlignment="0" applyProtection="0"/>
    <xf numFmtId="166"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5"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64"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5" fillId="0" borderId="0" applyFont="0" applyFill="0" applyBorder="0" applyAlignment="0" applyProtection="0"/>
    <xf numFmtId="165" fontId="40" fillId="0" borderId="0" applyFont="0" applyFill="0" applyBorder="0" applyAlignment="0" applyProtection="0"/>
    <xf numFmtId="201" fontId="36" fillId="0" borderId="0" applyFont="0" applyFill="0" applyBorder="0" applyAlignment="0" applyProtection="0"/>
    <xf numFmtId="164"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64" fontId="21"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8" fontId="40"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15" fillId="0" borderId="0" applyFont="0" applyFill="0" applyBorder="0" applyAlignment="0" applyProtection="0"/>
    <xf numFmtId="190" fontId="40" fillId="0" borderId="0" applyFont="0" applyFill="0" applyBorder="0" applyAlignment="0" applyProtection="0"/>
    <xf numFmtId="189" fontId="21" fillId="0" borderId="0" applyFont="0" applyFill="0" applyBorder="0" applyAlignment="0" applyProtection="0"/>
    <xf numFmtId="188" fontId="40" fillId="0" borderId="0" applyFont="0" applyFill="0" applyBorder="0" applyAlignment="0" applyProtection="0"/>
    <xf numFmtId="191" fontId="21" fillId="0" borderId="0" applyFont="0" applyFill="0" applyBorder="0" applyAlignment="0" applyProtection="0"/>
    <xf numFmtId="176" fontId="21" fillId="0" borderId="0" applyFont="0" applyFill="0" applyBorder="0" applyAlignment="0" applyProtection="0"/>
    <xf numFmtId="16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42"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0" fontId="42" fillId="0" borderId="0"/>
    <xf numFmtId="42" fontId="36" fillId="0" borderId="0" applyFont="0" applyFill="0" applyBorder="0" applyAlignment="0" applyProtection="0"/>
    <xf numFmtId="42" fontId="36" fillId="0" borderId="0" applyFont="0" applyFill="0" applyBorder="0" applyAlignment="0" applyProtection="0"/>
    <xf numFmtId="0" fontId="28" fillId="0" borderId="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5" fillId="0" borderId="0" applyFont="0" applyFill="0" applyBorder="0" applyAlignment="0" applyProtection="0"/>
    <xf numFmtId="164"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21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4" fontId="21"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84" fontId="21" fillId="0" borderId="0" applyFont="0" applyFill="0" applyBorder="0" applyAlignment="0" applyProtection="0"/>
    <xf numFmtId="166"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5"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64"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5" fillId="0" borderId="0" applyFont="0" applyFill="0" applyBorder="0" applyAlignment="0" applyProtection="0"/>
    <xf numFmtId="165" fontId="40" fillId="0" borderId="0" applyFont="0" applyFill="0" applyBorder="0" applyAlignment="0" applyProtection="0"/>
    <xf numFmtId="201" fontId="36" fillId="0" borderId="0" applyFont="0" applyFill="0" applyBorder="0" applyAlignment="0" applyProtection="0"/>
    <xf numFmtId="164"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8" fontId="40"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15" fillId="0" borderId="0" applyFont="0" applyFill="0" applyBorder="0" applyAlignment="0" applyProtection="0"/>
    <xf numFmtId="190" fontId="40" fillId="0" borderId="0" applyFont="0" applyFill="0" applyBorder="0" applyAlignment="0" applyProtection="0"/>
    <xf numFmtId="189" fontId="21" fillId="0" borderId="0" applyFont="0" applyFill="0" applyBorder="0" applyAlignment="0" applyProtection="0"/>
    <xf numFmtId="188" fontId="40" fillId="0" borderId="0" applyFont="0" applyFill="0" applyBorder="0" applyAlignment="0" applyProtection="0"/>
    <xf numFmtId="191" fontId="21" fillId="0" borderId="0" applyFont="0" applyFill="0" applyBorder="0" applyAlignment="0" applyProtection="0"/>
    <xf numFmtId="17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42" fontId="36" fillId="0" borderId="0" applyFont="0" applyFill="0" applyBorder="0" applyAlignment="0" applyProtection="0"/>
    <xf numFmtId="0" fontId="26" fillId="0" borderId="0" applyNumberForma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42" fontId="36"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26" fillId="0" borderId="0" applyNumberFormat="0" applyFill="0" applyBorder="0" applyAlignment="0" applyProtection="0"/>
    <xf numFmtId="0" fontId="28" fillId="0" borderId="0"/>
    <xf numFmtId="0" fontId="37" fillId="0" borderId="0"/>
    <xf numFmtId="0" fontId="37" fillId="0" borderId="0"/>
    <xf numFmtId="180" fontId="36" fillId="0" borderId="0" applyFont="0" applyFill="0" applyBorder="0" applyAlignment="0" applyProtection="0"/>
    <xf numFmtId="222" fontId="43" fillId="0" borderId="0" applyFont="0" applyFill="0" applyBorder="0" applyAlignment="0" applyProtection="0"/>
    <xf numFmtId="223" fontId="44" fillId="0" borderId="0" applyFont="0" applyFill="0" applyBorder="0" applyAlignment="0" applyProtection="0"/>
    <xf numFmtId="224" fontId="44" fillId="0" borderId="0" applyFont="0" applyFill="0" applyBorder="0" applyAlignment="0" applyProtection="0"/>
    <xf numFmtId="0" fontId="45" fillId="0" borderId="0"/>
    <xf numFmtId="0" fontId="46" fillId="0" borderId="0"/>
    <xf numFmtId="0" fontId="46" fillId="0" borderId="0"/>
    <xf numFmtId="0" fontId="16" fillId="0" borderId="0"/>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222" fontId="43" fillId="0" borderId="0" applyFont="0" applyFill="0" applyBorder="0" applyAlignment="0" applyProtection="0"/>
    <xf numFmtId="0" fontId="48" fillId="0" borderId="13" applyFont="0" applyAlignment="0">
      <alignment horizontal="left"/>
    </xf>
    <xf numFmtId="0" fontId="48" fillId="0" borderId="13" applyFont="0" applyAlignment="0">
      <alignment horizontal="left"/>
    </xf>
    <xf numFmtId="0" fontId="48" fillId="0" borderId="13" applyFont="0" applyAlignment="0">
      <alignment horizontal="left"/>
    </xf>
    <xf numFmtId="222" fontId="43" fillId="0" borderId="0" applyFont="0" applyFill="0" applyBorder="0" applyAlignment="0" applyProtection="0"/>
    <xf numFmtId="222" fontId="43" fillId="0" borderId="0" applyFont="0" applyFill="0" applyBorder="0" applyAlignment="0" applyProtection="0"/>
    <xf numFmtId="222" fontId="43" fillId="0" borderId="0" applyFont="0" applyFill="0" applyBorder="0" applyAlignment="0" applyProtection="0"/>
    <xf numFmtId="0" fontId="49" fillId="2" borderId="0"/>
    <xf numFmtId="0" fontId="50" fillId="2" borderId="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0" fillId="3" borderId="0"/>
    <xf numFmtId="0" fontId="50" fillId="2" borderId="0"/>
    <xf numFmtId="0" fontId="48" fillId="0" borderId="13"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0" fillId="2" borderId="0"/>
    <xf numFmtId="0" fontId="50" fillId="2" borderId="0"/>
    <xf numFmtId="0" fontId="50" fillId="2" borderId="0"/>
    <xf numFmtId="0" fontId="50" fillId="2" borderId="0"/>
    <xf numFmtId="0" fontId="48" fillId="0" borderId="13" applyFont="0" applyAlignment="0">
      <alignment horizontal="left"/>
    </xf>
    <xf numFmtId="0" fontId="25" fillId="0" borderId="22" applyAlignment="0"/>
    <xf numFmtId="0" fontId="25" fillId="0" borderId="22" applyAlignment="0"/>
    <xf numFmtId="0" fontId="49" fillId="2" borderId="0"/>
    <xf numFmtId="0" fontId="25" fillId="0" borderId="23" applyFill="0" applyAlignment="0"/>
    <xf numFmtId="0" fontId="25" fillId="0" borderId="23" applyFill="0" applyAlignment="0"/>
    <xf numFmtId="0" fontId="50" fillId="3" borderId="0"/>
    <xf numFmtId="0" fontId="25" fillId="0" borderId="23" applyFill="0" applyAlignment="0"/>
    <xf numFmtId="0" fontId="25" fillId="0" borderId="23" applyFill="0" applyAlignment="0"/>
    <xf numFmtId="0" fontId="50" fillId="2" borderId="0"/>
    <xf numFmtId="0" fontId="50" fillId="2" borderId="0"/>
    <xf numFmtId="0" fontId="25" fillId="0" borderId="22" applyAlignment="0"/>
    <xf numFmtId="0" fontId="25" fillId="0" borderId="22" applyAlignment="0"/>
    <xf numFmtId="0" fontId="25" fillId="0" borderId="22" applyAlignment="0"/>
    <xf numFmtId="0" fontId="25" fillId="0" borderId="22" applyAlignment="0"/>
    <xf numFmtId="0" fontId="49" fillId="2" borderId="0"/>
    <xf numFmtId="222" fontId="43" fillId="0" borderId="0" applyFont="0" applyFill="0" applyBorder="0" applyAlignment="0" applyProtection="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222" fontId="43" fillId="0" borderId="0" applyFont="0" applyFill="0" applyBorder="0" applyAlignment="0" applyProtection="0"/>
    <xf numFmtId="222" fontId="43" fillId="0" borderId="0" applyFont="0" applyFill="0" applyBorder="0" applyAlignment="0" applyProtection="0"/>
    <xf numFmtId="0" fontId="22" fillId="2" borderId="0"/>
    <xf numFmtId="0" fontId="50" fillId="2" borderId="0"/>
    <xf numFmtId="0" fontId="49" fillId="2" borderId="0"/>
    <xf numFmtId="0" fontId="50" fillId="2" borderId="0"/>
    <xf numFmtId="0" fontId="48" fillId="0" borderId="13" applyFont="0" applyAlignment="0">
      <alignment horizontal="left"/>
    </xf>
    <xf numFmtId="0" fontId="49" fillId="2" borderId="0"/>
    <xf numFmtId="0" fontId="48" fillId="0" borderId="13"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51" fillId="0" borderId="0" applyFont="0" applyFill="0" applyBorder="0" applyAlignment="0">
      <alignment horizontal="left"/>
    </xf>
    <xf numFmtId="0" fontId="50" fillId="2" borderId="0"/>
    <xf numFmtId="0" fontId="48" fillId="0" borderId="13" applyFont="0" applyAlignment="0">
      <alignment horizontal="left"/>
    </xf>
    <xf numFmtId="0" fontId="50" fillId="2" borderId="0"/>
    <xf numFmtId="0" fontId="49" fillId="2" borderId="0"/>
    <xf numFmtId="0" fontId="50" fillId="2" borderId="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22" fillId="0" borderId="23" applyAlignment="0"/>
    <xf numFmtId="0" fontId="48" fillId="0" borderId="13"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49" fillId="2" borderId="0"/>
    <xf numFmtId="0" fontId="49" fillId="2" borderId="0"/>
    <xf numFmtId="0" fontId="50" fillId="2" borderId="0"/>
    <xf numFmtId="0" fontId="50" fillId="2" borderId="0"/>
    <xf numFmtId="0" fontId="48" fillId="0" borderId="13" applyFont="0" applyAlignment="0">
      <alignment horizontal="left"/>
    </xf>
    <xf numFmtId="0" fontId="25" fillId="0" borderId="22" applyAlignment="0"/>
    <xf numFmtId="0" fontId="25" fillId="0" borderId="22" applyAlignment="0"/>
    <xf numFmtId="0" fontId="52" fillId="0" borderId="1" applyNumberFormat="0" applyFont="0" applyBorder="0">
      <alignment horizontal="left" indent="2"/>
    </xf>
    <xf numFmtId="0" fontId="52" fillId="0" borderId="1" applyNumberFormat="0" applyFont="0" applyBorder="0">
      <alignment horizontal="left" indent="2"/>
    </xf>
    <xf numFmtId="0" fontId="51" fillId="0" borderId="0" applyFont="0" applyFill="0" applyBorder="0" applyAlignment="0">
      <alignment horizontal="left"/>
    </xf>
    <xf numFmtId="0" fontId="52" fillId="0" borderId="1" applyNumberFormat="0" applyFont="0" applyBorder="0">
      <alignment horizontal="left" indent="2"/>
    </xf>
    <xf numFmtId="0" fontId="52" fillId="0" borderId="1" applyNumberFormat="0" applyFont="0" applyBorder="0">
      <alignment horizontal="left" indent="2"/>
    </xf>
    <xf numFmtId="0" fontId="50" fillId="2" borderId="0"/>
    <xf numFmtId="0" fontId="50" fillId="2" borderId="0"/>
    <xf numFmtId="0" fontId="53" fillId="0" borderId="0"/>
    <xf numFmtId="0" fontId="54" fillId="4" borderId="24" applyFont="0" applyFill="0" applyAlignment="0">
      <alignment vertical="center" wrapText="1"/>
    </xf>
    <xf numFmtId="9" fontId="55" fillId="0" borderId="0" applyBorder="0" applyAlignment="0" applyProtection="0"/>
    <xf numFmtId="0" fontId="56" fillId="2" borderId="0"/>
    <xf numFmtId="0" fontId="49" fillId="2" borderId="0"/>
    <xf numFmtId="0" fontId="56" fillId="3" borderId="0"/>
    <xf numFmtId="0" fontId="22" fillId="0" borderId="22" applyNumberFormat="0" applyFill="0"/>
    <xf numFmtId="0" fontId="22" fillId="0" borderId="22" applyNumberFormat="0" applyFill="0"/>
    <xf numFmtId="0" fontId="49" fillId="2" borderId="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56" fillId="2" borderId="0"/>
    <xf numFmtId="0" fontId="22" fillId="0" borderId="22" applyNumberFormat="0" applyFill="0"/>
    <xf numFmtId="0" fontId="22" fillId="0" borderId="22" applyNumberFormat="0" applyFill="0"/>
    <xf numFmtId="0" fontId="49" fillId="2" borderId="0"/>
    <xf numFmtId="0" fontId="22" fillId="2" borderId="0"/>
    <xf numFmtId="0" fontId="49" fillId="2" borderId="0"/>
    <xf numFmtId="0" fontId="49" fillId="2" borderId="0"/>
    <xf numFmtId="0" fontId="56" fillId="2" borderId="0"/>
    <xf numFmtId="0" fontId="49" fillId="2" borderId="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22" fillId="0" borderId="22" applyNumberFormat="0" applyAlignment="0"/>
    <xf numFmtId="0" fontId="49" fillId="2" borderId="0"/>
    <xf numFmtId="0" fontId="49" fillId="2" borderId="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22" fillId="0" borderId="22" applyNumberFormat="0" applyFill="0"/>
    <xf numFmtId="0" fontId="56" fillId="2" borderId="0"/>
    <xf numFmtId="0" fontId="56" fillId="2" borderId="0"/>
    <xf numFmtId="0" fontId="56" fillId="2" borderId="0"/>
    <xf numFmtId="0" fontId="52" fillId="0" borderId="1" applyNumberFormat="0" applyFont="0" applyBorder="0" applyAlignment="0">
      <alignment horizontal="center"/>
    </xf>
    <xf numFmtId="0" fontId="52" fillId="0" borderId="1" applyNumberFormat="0" applyFont="0" applyBorder="0" applyAlignment="0">
      <alignment horizontal="center"/>
    </xf>
    <xf numFmtId="0" fontId="52" fillId="0" borderId="1" applyNumberFormat="0" applyFont="0" applyBorder="0" applyAlignment="0">
      <alignment horizontal="center"/>
    </xf>
    <xf numFmtId="0" fontId="52" fillId="0" borderId="1" applyNumberFormat="0" applyFont="0" applyBorder="0" applyAlignment="0">
      <alignment horizontal="center"/>
    </xf>
    <xf numFmtId="0" fontId="22" fillId="0" borderId="0"/>
    <xf numFmtId="0" fontId="57" fillId="5" borderId="0" applyNumberFormat="0" applyBorder="0" applyAlignment="0" applyProtection="0"/>
    <xf numFmtId="0" fontId="58"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7" fillId="15" borderId="0" applyNumberFormat="0" applyBorder="0" applyAlignment="0" applyProtection="0"/>
    <xf numFmtId="0" fontId="58" fillId="16" borderId="0" applyNumberFormat="0" applyBorder="0" applyAlignment="0" applyProtection="0"/>
    <xf numFmtId="0" fontId="58" fillId="5" borderId="0" applyNumberFormat="0" applyBorder="0" applyAlignment="0" applyProtection="0"/>
    <xf numFmtId="0" fontId="58" fillId="7" borderId="0" applyNumberFormat="0" applyBorder="0" applyAlignment="0" applyProtection="0"/>
    <xf numFmtId="0" fontId="58" fillId="9" borderId="0" applyNumberFormat="0" applyBorder="0" applyAlignment="0" applyProtection="0"/>
    <xf numFmtId="0" fontId="58" fillId="11" borderId="0" applyNumberFormat="0" applyBorder="0" applyAlignment="0" applyProtection="0"/>
    <xf numFmtId="0" fontId="58" fillId="13" borderId="0" applyNumberFormat="0" applyBorder="0" applyAlignment="0" applyProtection="0"/>
    <xf numFmtId="0" fontId="58" fillId="15" borderId="0" applyNumberFormat="0" applyBorder="0" applyAlignment="0" applyProtection="0"/>
    <xf numFmtId="0" fontId="15" fillId="0" borderId="0"/>
    <xf numFmtId="0" fontId="59" fillId="2" borderId="0"/>
    <xf numFmtId="0" fontId="49" fillId="2" borderId="0"/>
    <xf numFmtId="0" fontId="59" fillId="3" borderId="0"/>
    <xf numFmtId="0" fontId="49" fillId="2" borderId="0"/>
    <xf numFmtId="0" fontId="49" fillId="2" borderId="0"/>
    <xf numFmtId="0" fontId="22" fillId="2" borderId="0"/>
    <xf numFmtId="0" fontId="49" fillId="2" borderId="0"/>
    <xf numFmtId="0" fontId="49" fillId="2" borderId="0"/>
    <xf numFmtId="0" fontId="59" fillId="2" borderId="0"/>
    <xf numFmtId="0" fontId="49" fillId="2" borderId="0"/>
    <xf numFmtId="0" fontId="49" fillId="2" borderId="0"/>
    <xf numFmtId="0" fontId="49" fillId="2" borderId="0"/>
    <xf numFmtId="0" fontId="59" fillId="2" borderId="0"/>
    <xf numFmtId="0" fontId="59" fillId="2" borderId="0"/>
    <xf numFmtId="0" fontId="60" fillId="0" borderId="0">
      <alignment wrapText="1"/>
    </xf>
    <xf numFmtId="0" fontId="49" fillId="0" borderId="0">
      <alignment wrapText="1"/>
    </xf>
    <xf numFmtId="0" fontId="60" fillId="0" borderId="0">
      <alignment wrapText="1"/>
    </xf>
    <xf numFmtId="0" fontId="49" fillId="0" borderId="0">
      <alignment wrapText="1"/>
    </xf>
    <xf numFmtId="0" fontId="49" fillId="0" borderId="0">
      <alignment wrapText="1"/>
    </xf>
    <xf numFmtId="0" fontId="22" fillId="0" borderId="0">
      <alignment wrapText="1"/>
    </xf>
    <xf numFmtId="0" fontId="49" fillId="0" borderId="0">
      <alignment wrapText="1"/>
    </xf>
    <xf numFmtId="0" fontId="49" fillId="0" borderId="0">
      <alignment wrapText="1"/>
    </xf>
    <xf numFmtId="0" fontId="60" fillId="0" borderId="0">
      <alignment wrapText="1"/>
    </xf>
    <xf numFmtId="0" fontId="49" fillId="0" borderId="0">
      <alignment wrapText="1"/>
    </xf>
    <xf numFmtId="0" fontId="49" fillId="0" borderId="0">
      <alignment wrapText="1"/>
    </xf>
    <xf numFmtId="0" fontId="49" fillId="0" borderId="0">
      <alignment wrapText="1"/>
    </xf>
    <xf numFmtId="0" fontId="60" fillId="0" borderId="0">
      <alignment wrapText="1"/>
    </xf>
    <xf numFmtId="0" fontId="57" fillId="17" borderId="0" applyNumberFormat="0" applyBorder="0" applyAlignment="0" applyProtection="0"/>
    <xf numFmtId="0" fontId="58"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7" fillId="23" borderId="0" applyNumberFormat="0" applyBorder="0" applyAlignment="0" applyProtection="0"/>
    <xf numFmtId="0" fontId="58" fillId="24"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58" fillId="21" borderId="0" applyNumberFormat="0" applyBorder="0" applyAlignment="0" applyProtection="0"/>
    <xf numFmtId="0" fontId="58" fillId="11" borderId="0" applyNumberFormat="0" applyBorder="0" applyAlignment="0" applyProtection="0"/>
    <xf numFmtId="0" fontId="58" fillId="17" borderId="0" applyNumberFormat="0" applyBorder="0" applyAlignment="0" applyProtection="0"/>
    <xf numFmtId="0" fontId="58" fillId="23" borderId="0" applyNumberFormat="0" applyBorder="0" applyAlignment="0" applyProtection="0"/>
    <xf numFmtId="0" fontId="26" fillId="0" borderId="0"/>
    <xf numFmtId="0" fontId="26" fillId="0" borderId="0"/>
    <xf numFmtId="0" fontId="26" fillId="0" borderId="0"/>
    <xf numFmtId="0" fontId="22" fillId="0" borderId="0"/>
    <xf numFmtId="0" fontId="26" fillId="0" borderId="0"/>
    <xf numFmtId="0" fontId="61" fillId="25" borderId="0" applyNumberFormat="0" applyBorder="0" applyAlignment="0" applyProtection="0"/>
    <xf numFmtId="0" fontId="62" fillId="26"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25" borderId="0" applyNumberFormat="0" applyBorder="0" applyAlignment="0" applyProtection="0"/>
    <xf numFmtId="0" fontId="62" fillId="19" borderId="0" applyNumberFormat="0" applyBorder="0" applyAlignment="0" applyProtection="0"/>
    <xf numFmtId="0" fontId="62" fillId="21"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31" borderId="0" applyNumberFormat="0" applyBorder="0" applyAlignment="0" applyProtection="0"/>
    <xf numFmtId="0" fontId="63" fillId="0" borderId="0"/>
    <xf numFmtId="0" fontId="61" fillId="33"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1" fillId="37" borderId="0" applyNumberFormat="0" applyBorder="0" applyAlignment="0" applyProtection="0"/>
    <xf numFmtId="0" fontId="62" fillId="38"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225" fontId="15" fillId="0" borderId="0" applyFont="0" applyFill="0" applyBorder="0" applyAlignment="0" applyProtection="0"/>
    <xf numFmtId="0" fontId="64" fillId="0" borderId="0" applyFont="0" applyFill="0" applyBorder="0" applyAlignment="0" applyProtection="0"/>
    <xf numFmtId="226" fontId="21" fillId="0" borderId="0" applyFont="0" applyFill="0" applyBorder="0" applyAlignment="0" applyProtection="0"/>
    <xf numFmtId="227" fontId="15" fillId="0" borderId="0" applyFont="0" applyFill="0" applyBorder="0" applyAlignment="0" applyProtection="0"/>
    <xf numFmtId="0" fontId="64" fillId="0" borderId="0" applyFont="0" applyFill="0" applyBorder="0" applyAlignment="0" applyProtection="0"/>
    <xf numFmtId="225" fontId="21" fillId="0" borderId="0" applyFont="0" applyFill="0" applyBorder="0" applyAlignment="0" applyProtection="0"/>
    <xf numFmtId="0" fontId="65" fillId="0" borderId="0">
      <alignment horizontal="center" wrapText="1"/>
      <protection locked="0"/>
    </xf>
    <xf numFmtId="0" fontId="66" fillId="0" borderId="0" applyNumberFormat="0" applyBorder="0" applyAlignment="0">
      <alignment horizontal="center"/>
    </xf>
    <xf numFmtId="211" fontId="67" fillId="0" borderId="0" applyFont="0" applyFill="0" applyBorder="0" applyAlignment="0" applyProtection="0"/>
    <xf numFmtId="0" fontId="64" fillId="0" borderId="0" applyFont="0" applyFill="0" applyBorder="0" applyAlignment="0" applyProtection="0"/>
    <xf numFmtId="211" fontId="67" fillId="0" borderId="0" applyFont="0" applyFill="0" applyBorder="0" applyAlignment="0" applyProtection="0"/>
    <xf numFmtId="194" fontId="67" fillId="0" borderId="0" applyFont="0" applyFill="0" applyBorder="0" applyAlignment="0" applyProtection="0"/>
    <xf numFmtId="0" fontId="64" fillId="0" borderId="0" applyFont="0" applyFill="0" applyBorder="0" applyAlignment="0" applyProtection="0"/>
    <xf numFmtId="194" fontId="67" fillId="0" borderId="0" applyFont="0" applyFill="0" applyBorder="0" applyAlignment="0" applyProtection="0"/>
    <xf numFmtId="180" fontId="2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68" fillId="7" borderId="0" applyNumberFormat="0" applyBorder="0" applyAlignment="0" applyProtection="0"/>
    <xf numFmtId="0" fontId="69" fillId="8" borderId="0" applyNumberFormat="0" applyBorder="0" applyAlignment="0" applyProtection="0"/>
    <xf numFmtId="0" fontId="70" fillId="0" borderId="0" applyNumberFormat="0" applyFill="0" applyBorder="0" applyAlignment="0" applyProtection="0"/>
    <xf numFmtId="0" fontId="64" fillId="0" borderId="0"/>
    <xf numFmtId="0" fontId="41" fillId="0" borderId="0"/>
    <xf numFmtId="0" fontId="16" fillId="0" borderId="0"/>
    <xf numFmtId="0" fontId="64" fillId="0" borderId="0"/>
    <xf numFmtId="0" fontId="71" fillId="0" borderId="0"/>
    <xf numFmtId="0" fontId="72" fillId="0" borderId="0"/>
    <xf numFmtId="0" fontId="73" fillId="0" borderId="0"/>
    <xf numFmtId="0" fontId="15" fillId="0" borderId="0" applyFill="0" applyBorder="0" applyAlignment="0"/>
    <xf numFmtId="228" fontId="74" fillId="0" borderId="0" applyFill="0" applyBorder="0" applyAlignment="0"/>
    <xf numFmtId="229" fontId="74" fillId="0" borderId="0" applyFill="0" applyBorder="0" applyAlignment="0"/>
    <xf numFmtId="230" fontId="74" fillId="0" borderId="0" applyFill="0" applyBorder="0" applyAlignment="0"/>
    <xf numFmtId="231" fontId="15"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75" fillId="41" borderId="25" applyNumberFormat="0" applyAlignment="0" applyProtection="0"/>
    <xf numFmtId="0" fontId="75" fillId="41" borderId="25" applyNumberFormat="0" applyAlignment="0" applyProtection="0"/>
    <xf numFmtId="0" fontId="76" fillId="3" borderId="25" applyNumberFormat="0" applyAlignment="0" applyProtection="0"/>
    <xf numFmtId="0" fontId="77" fillId="0" borderId="0"/>
    <xf numFmtId="233" fontId="36" fillId="0" borderId="0" applyFont="0" applyFill="0" applyBorder="0" applyAlignment="0" applyProtection="0"/>
    <xf numFmtId="0" fontId="78" fillId="42" borderId="26" applyNumberFormat="0" applyAlignment="0" applyProtection="0"/>
    <xf numFmtId="0" fontId="79" fillId="43" borderId="26" applyNumberFormat="0" applyAlignment="0" applyProtection="0"/>
    <xf numFmtId="170" fontId="27" fillId="0" borderId="0" applyFont="0" applyFill="0" applyBorder="0" applyAlignment="0" applyProtection="0"/>
    <xf numFmtId="4" fontId="80" fillId="0" borderId="0" applyAlignment="0"/>
    <xf numFmtId="1" fontId="81" fillId="0" borderId="5" applyBorder="0"/>
    <xf numFmtId="1" fontId="81" fillId="0" borderId="5" applyBorder="0"/>
    <xf numFmtId="1" fontId="81" fillId="0" borderId="5" applyBorder="0"/>
    <xf numFmtId="1" fontId="81" fillId="0" borderId="5" applyBorder="0"/>
    <xf numFmtId="193" fontId="82" fillId="0" borderId="0" applyFont="0" applyFill="0" applyBorder="0" applyAlignment="0" applyProtection="0"/>
    <xf numFmtId="234" fontId="83" fillId="0" borderId="0"/>
    <xf numFmtId="234" fontId="83" fillId="0" borderId="0"/>
    <xf numFmtId="234" fontId="83" fillId="0" borderId="0"/>
    <xf numFmtId="234" fontId="83" fillId="0" borderId="0"/>
    <xf numFmtId="234" fontId="83" fillId="0" borderId="0"/>
    <xf numFmtId="234" fontId="83" fillId="0" borderId="0"/>
    <xf numFmtId="234" fontId="83" fillId="0" borderId="0"/>
    <xf numFmtId="234" fontId="83" fillId="0" borderId="0"/>
    <xf numFmtId="235" fontId="25" fillId="0" borderId="0" applyFill="0" applyBorder="0" applyAlignment="0" applyProtection="0"/>
    <xf numFmtId="41" fontId="58" fillId="0" borderId="0" applyFont="0" applyFill="0" applyBorder="0" applyAlignment="0" applyProtection="0"/>
    <xf numFmtId="235" fontId="25" fillId="0" borderId="0" applyFill="0" applyBorder="0" applyAlignment="0" applyProtection="0"/>
    <xf numFmtId="235" fontId="25" fillId="0" borderId="0" applyFill="0" applyBorder="0" applyAlignment="0" applyProtection="0"/>
    <xf numFmtId="166" fontId="27" fillId="0" borderId="0" applyFont="0" applyFill="0" applyBorder="0" applyAlignment="0" applyProtection="0"/>
    <xf numFmtId="41" fontId="58" fillId="0" borderId="0" applyFont="0" applyFill="0" applyBorder="0" applyAlignment="0" applyProtection="0"/>
    <xf numFmtId="181" fontId="74"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169"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4"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85" fillId="0" borderId="0" applyFont="0" applyFill="0" applyBorder="0" applyAlignment="0" applyProtection="0"/>
    <xf numFmtId="43" fontId="86" fillId="0" borderId="0" applyFont="0" applyFill="0" applyBorder="0" applyAlignment="0" applyProtection="0"/>
    <xf numFmtId="0" fontId="58" fillId="0" borderId="0" applyFont="0" applyFill="0" applyBorder="0" applyAlignment="0" applyProtection="0"/>
    <xf numFmtId="169" fontId="15" fillId="0" borderId="0" applyFill="0" applyBorder="0" applyAlignment="0" applyProtection="0"/>
    <xf numFmtId="43" fontId="87" fillId="0" borderId="0" applyFont="0" applyFill="0" applyBorder="0" applyAlignment="0" applyProtection="0"/>
    <xf numFmtId="169" fontId="15" fillId="0" borderId="0" applyFill="0" applyBorder="0" applyAlignment="0" applyProtection="0"/>
    <xf numFmtId="175"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88" fillId="0" borderId="0" applyFont="0" applyFill="0" applyBorder="0" applyAlignment="0" applyProtection="0"/>
    <xf numFmtId="43" fontId="14" fillId="0" borderId="0" applyFont="0" applyFill="0" applyBorder="0" applyAlignment="0" applyProtection="0"/>
    <xf numFmtId="167" fontId="88"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169" fontId="15" fillId="0" borderId="0" applyFill="0" applyBorder="0" applyAlignment="0" applyProtection="0"/>
    <xf numFmtId="43" fontId="15" fillId="0" borderId="0" applyFont="0" applyFill="0" applyBorder="0" applyAlignment="0" applyProtection="0"/>
    <xf numFmtId="169" fontId="22" fillId="0" borderId="0" applyFill="0" applyBorder="0" applyAlignment="0" applyProtection="0"/>
    <xf numFmtId="169" fontId="15" fillId="0" borderId="0" applyFill="0" applyBorder="0" applyAlignment="0" applyProtection="0"/>
    <xf numFmtId="167" fontId="86" fillId="0" borderId="0" applyFont="0" applyFill="0" applyBorder="0" applyAlignment="0" applyProtection="0"/>
    <xf numFmtId="43" fontId="15" fillId="0" borderId="0" applyFont="0" applyFill="0" applyBorder="0" applyAlignment="0" applyProtection="0"/>
    <xf numFmtId="169" fontId="15" fillId="0" borderId="0" applyFill="0" applyBorder="0" applyAlignment="0" applyProtection="0"/>
    <xf numFmtId="169" fontId="15" fillId="0" borderId="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167" fontId="86" fillId="0" borderId="0" applyFont="0" applyFill="0" applyBorder="0" applyAlignment="0" applyProtection="0"/>
    <xf numFmtId="0" fontId="58" fillId="0" borderId="0" applyFont="0" applyFill="0" applyBorder="0" applyAlignment="0" applyProtection="0"/>
    <xf numFmtId="236" fontId="86" fillId="0" borderId="0" applyFont="0" applyFill="0" applyBorder="0" applyAlignment="0" applyProtection="0"/>
    <xf numFmtId="43" fontId="15" fillId="0" borderId="0" applyFont="0" applyFill="0" applyBorder="0" applyAlignment="0" applyProtection="0"/>
    <xf numFmtId="167" fontId="27"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167"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37" fontId="16" fillId="0" borderId="0"/>
    <xf numFmtId="3" fontId="15" fillId="0" borderId="0" applyFill="0" applyBorder="0" applyAlignment="0" applyProtection="0"/>
    <xf numFmtId="0" fontId="89" fillId="0" borderId="0"/>
    <xf numFmtId="0" fontId="74" fillId="0" borderId="0"/>
    <xf numFmtId="3" fontId="15" fillId="0" borderId="0" applyFont="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ont="0" applyFill="0" applyBorder="0" applyAlignment="0" applyProtection="0"/>
    <xf numFmtId="0" fontId="89" fillId="0" borderId="0"/>
    <xf numFmtId="0" fontId="74" fillId="0" borderId="0"/>
    <xf numFmtId="0" fontId="90" fillId="0" borderId="0">
      <alignment horizontal="center"/>
    </xf>
    <xf numFmtId="0" fontId="91" fillId="0" borderId="0" applyNumberFormat="0" applyAlignment="0">
      <alignment horizontal="left"/>
    </xf>
    <xf numFmtId="238" fontId="41" fillId="0" borderId="0" applyFont="0" applyFill="0" applyBorder="0" applyAlignment="0" applyProtection="0"/>
    <xf numFmtId="228" fontId="7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239" fontId="15" fillId="0" borderId="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1" fontId="15" fillId="0" borderId="0" applyFont="0" applyFill="0" applyBorder="0" applyAlignment="0" applyProtection="0"/>
    <xf numFmtId="241" fontId="15" fillId="0" borderId="0" applyFont="0" applyFill="0" applyBorder="0" applyAlignment="0" applyProtection="0"/>
    <xf numFmtId="241" fontId="15" fillId="0" borderId="0" applyFont="0" applyFill="0" applyBorder="0" applyAlignment="0" applyProtection="0"/>
    <xf numFmtId="239" fontId="15" fillId="0" borderId="0" applyFill="0" applyBorder="0" applyAlignment="0" applyProtection="0"/>
    <xf numFmtId="239" fontId="15" fillId="0" borderId="0" applyFill="0" applyBorder="0" applyAlignment="0" applyProtection="0"/>
    <xf numFmtId="240" fontId="15" fillId="0" borderId="0" applyFont="0" applyFill="0" applyBorder="0" applyAlignment="0" applyProtection="0"/>
    <xf numFmtId="242" fontId="15" fillId="0" borderId="0"/>
    <xf numFmtId="243" fontId="22" fillId="0" borderId="27"/>
    <xf numFmtId="0" fontId="15" fillId="0" borderId="0" applyFill="0" applyBorder="0" applyAlignment="0" applyProtection="0"/>
    <xf numFmtId="0" fontId="15" fillId="0" borderId="0" applyFont="0" applyFill="0" applyBorder="0" applyAlignment="0" applyProtection="0"/>
    <xf numFmtId="0" fontId="15" fillId="0" borderId="0" applyFill="0" applyBorder="0" applyAlignment="0" applyProtection="0"/>
    <xf numFmtId="14" fontId="38" fillId="0" borderId="0" applyFill="0" applyBorder="0" applyAlignment="0"/>
    <xf numFmtId="0" fontId="15" fillId="0" borderId="0" applyFont="0" applyFill="0" applyBorder="0" applyAlignment="0" applyProtection="0"/>
    <xf numFmtId="0" fontId="92" fillId="41" borderId="28" applyNumberFormat="0" applyAlignment="0" applyProtection="0"/>
    <xf numFmtId="0" fontId="92" fillId="41" borderId="28" applyNumberFormat="0" applyAlignment="0" applyProtection="0"/>
    <xf numFmtId="0" fontId="93" fillId="15" borderId="25" applyNumberFormat="0" applyAlignment="0" applyProtection="0"/>
    <xf numFmtId="0" fontId="93" fillId="15" borderId="25" applyNumberFormat="0" applyAlignment="0" applyProtection="0"/>
    <xf numFmtId="3" fontId="94" fillId="0" borderId="4">
      <alignment horizontal="left" vertical="top" wrapText="1"/>
    </xf>
    <xf numFmtId="0" fontId="95" fillId="0" borderId="29" applyNumberFormat="0" applyFill="0" applyAlignment="0" applyProtection="0"/>
    <xf numFmtId="0" fontId="96" fillId="0" borderId="30" applyNumberFormat="0" applyFill="0" applyAlignment="0" applyProtection="0"/>
    <xf numFmtId="0" fontId="97" fillId="0" borderId="31" applyNumberFormat="0" applyFill="0" applyAlignment="0" applyProtection="0"/>
    <xf numFmtId="0" fontId="97" fillId="0" borderId="0" applyNumberFormat="0" applyFill="0" applyBorder="0" applyAlignment="0" applyProtection="0"/>
    <xf numFmtId="244" fontId="25" fillId="0" borderId="0" applyFill="0" applyBorder="0" applyProtection="0">
      <alignment vertical="center"/>
    </xf>
    <xf numFmtId="245" fontId="22" fillId="0" borderId="0" applyFont="0" applyFill="0" applyBorder="0" applyProtection="0">
      <alignment vertical="center"/>
    </xf>
    <xf numFmtId="245" fontId="22" fillId="0" borderId="0" applyFont="0" applyFill="0" applyBorder="0" applyProtection="0">
      <alignment vertical="center"/>
    </xf>
    <xf numFmtId="245" fontId="22" fillId="0" borderId="0" applyFont="0" applyFill="0" applyBorder="0" applyProtection="0">
      <alignment vertical="center"/>
    </xf>
    <xf numFmtId="246" fontId="15" fillId="0" borderId="32">
      <alignment vertical="center"/>
    </xf>
    <xf numFmtId="0" fontId="15" fillId="0" borderId="0" applyFont="0" applyFill="0" applyBorder="0" applyAlignment="0" applyProtection="0"/>
    <xf numFmtId="0" fontId="15" fillId="0" borderId="0" applyFont="0" applyFill="0" applyBorder="0" applyAlignment="0" applyProtection="0"/>
    <xf numFmtId="247" fontId="22" fillId="0" borderId="0"/>
    <xf numFmtId="248" fontId="26" fillId="0" borderId="1"/>
    <xf numFmtId="248" fontId="26" fillId="0" borderId="1"/>
    <xf numFmtId="0" fontId="98" fillId="0" borderId="0">
      <protection locked="0"/>
    </xf>
    <xf numFmtId="249" fontId="15" fillId="0" borderId="0"/>
    <xf numFmtId="250" fontId="26" fillId="0" borderId="0"/>
    <xf numFmtId="0" fontId="82" fillId="0" borderId="0">
      <alignment vertical="top" wrapText="1"/>
    </xf>
    <xf numFmtId="0" fontId="82" fillId="0" borderId="0">
      <alignment vertical="top" wrapText="1"/>
    </xf>
    <xf numFmtId="164" fontId="99" fillId="0" borderId="0" applyFont="0" applyFill="0" applyBorder="0" applyAlignment="0" applyProtection="0"/>
    <xf numFmtId="165"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251" fontId="15" fillId="0" borderId="0" applyFont="0" applyFill="0" applyBorder="0" applyAlignment="0" applyProtection="0"/>
    <xf numFmtId="251" fontId="15" fillId="0" borderId="0" applyFont="0" applyFill="0" applyBorder="0" applyAlignment="0" applyProtection="0"/>
    <xf numFmtId="251" fontId="15" fillId="0" borderId="0" applyFont="0" applyFill="0" applyBorder="0" applyAlignment="0" applyProtection="0"/>
    <xf numFmtId="251" fontId="15"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251" fontId="15" fillId="0" borderId="0" applyFont="0" applyFill="0" applyBorder="0" applyAlignment="0" applyProtection="0"/>
    <xf numFmtId="251" fontId="15" fillId="0" borderId="0" applyFont="0" applyFill="0" applyBorder="0" applyAlignment="0" applyProtection="0"/>
    <xf numFmtId="252" fontId="22" fillId="0" borderId="0" applyFont="0" applyFill="0" applyBorder="0" applyAlignment="0" applyProtection="0"/>
    <xf numFmtId="252" fontId="22" fillId="0" borderId="0" applyFont="0" applyFill="0" applyBorder="0" applyAlignment="0" applyProtection="0"/>
    <xf numFmtId="253" fontId="22" fillId="0" borderId="0" applyFont="0" applyFill="0" applyBorder="0" applyAlignment="0" applyProtection="0"/>
    <xf numFmtId="253" fontId="22"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5" fontId="99" fillId="0" borderId="0" applyFont="0" applyFill="0" applyBorder="0" applyAlignment="0" applyProtection="0"/>
    <xf numFmtId="167" fontId="99"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5" fontId="22" fillId="0" borderId="0" applyFont="0" applyFill="0" applyBorder="0" applyAlignment="0" applyProtection="0"/>
    <xf numFmtId="255" fontId="22" fillId="0" borderId="0" applyFont="0" applyFill="0" applyBorder="0" applyAlignment="0" applyProtection="0"/>
    <xf numFmtId="256" fontId="22" fillId="0" borderId="0" applyFont="0" applyFill="0" applyBorder="0" applyAlignment="0" applyProtection="0"/>
    <xf numFmtId="256" fontId="22"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5" fontId="99" fillId="0" borderId="0" applyFont="0" applyFill="0" applyBorder="0" applyAlignment="0" applyProtection="0"/>
    <xf numFmtId="167" fontId="99" fillId="0" borderId="0" applyFont="0" applyFill="0" applyBorder="0" applyAlignment="0" applyProtection="0"/>
    <xf numFmtId="165"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3" fontId="22" fillId="0" borderId="0" applyFont="0" applyBorder="0" applyAlignment="0"/>
    <xf numFmtId="0" fontId="100" fillId="0" borderId="0">
      <protection locked="0"/>
    </xf>
    <xf numFmtId="0" fontId="100" fillId="0" borderId="0">
      <protection locked="0"/>
    </xf>
    <xf numFmtId="181" fontId="74" fillId="0" borderId="0" applyFill="0" applyBorder="0" applyAlignment="0"/>
    <xf numFmtId="228" fontId="74"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101" fillId="0" borderId="0" applyNumberFormat="0" applyAlignment="0">
      <alignment horizontal="left"/>
    </xf>
    <xf numFmtId="172" fontId="102" fillId="0" borderId="0">
      <protection locked="0"/>
    </xf>
    <xf numFmtId="172" fontId="102" fillId="0" borderId="0">
      <protection locked="0"/>
    </xf>
    <xf numFmtId="172" fontId="102" fillId="0" borderId="0">
      <protection locked="0"/>
    </xf>
    <xf numFmtId="172" fontId="102" fillId="0" borderId="0">
      <protection locked="0"/>
    </xf>
    <xf numFmtId="257" fontId="15"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22" fillId="0" borderId="0" applyFont="0" applyBorder="0" applyAlignment="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4" fontId="98" fillId="0" borderId="0">
      <protection locked="0"/>
    </xf>
    <xf numFmtId="0" fontId="98" fillId="0" borderId="0">
      <protection locked="0"/>
    </xf>
    <xf numFmtId="258" fontId="22" fillId="0" borderId="0">
      <protection locked="0"/>
    </xf>
    <xf numFmtId="2" fontId="15" fillId="0" borderId="0" applyFill="0" applyBorder="0" applyAlignment="0" applyProtection="0"/>
    <xf numFmtId="2" fontId="15" fillId="0" borderId="0" applyFont="0" applyFill="0" applyBorder="0" applyAlignment="0" applyProtection="0"/>
    <xf numFmtId="2" fontId="15" fillId="0" borderId="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10" fillId="0" borderId="0" applyNumberFormat="0" applyFill="0" applyBorder="0" applyAlignment="0" applyProtection="0"/>
    <xf numFmtId="259" fontId="24" fillId="0" borderId="33" applyNumberFormat="0" applyFill="0" applyBorder="0" applyAlignment="0" applyProtection="0"/>
    <xf numFmtId="259" fontId="24" fillId="0" borderId="33" applyNumberFormat="0" applyFill="0" applyBorder="0" applyAlignment="0" applyProtection="0"/>
    <xf numFmtId="0" fontId="111" fillId="0" borderId="0" applyNumberFormat="0" applyFill="0" applyBorder="0" applyAlignment="0" applyProtection="0"/>
    <xf numFmtId="0" fontId="112" fillId="44" borderId="34" applyNumberFormat="0" applyAlignment="0">
      <protection locked="0"/>
    </xf>
    <xf numFmtId="0" fontId="112" fillId="44" borderId="34" applyNumberFormat="0" applyAlignment="0">
      <protection locked="0"/>
    </xf>
    <xf numFmtId="0" fontId="112" fillId="44" borderId="34" applyNumberFormat="0" applyAlignment="0">
      <protection locked="0"/>
    </xf>
    <xf numFmtId="0" fontId="15" fillId="45" borderId="35" applyNumberFormat="0" applyFont="0" applyAlignment="0" applyProtection="0"/>
    <xf numFmtId="0" fontId="15" fillId="45" borderId="35" applyNumberFormat="0" applyFont="0" applyAlignment="0" applyProtection="0"/>
    <xf numFmtId="0" fontId="113" fillId="0" borderId="0">
      <alignment vertical="top" wrapText="1"/>
    </xf>
    <xf numFmtId="0" fontId="114" fillId="9" borderId="0" applyNumberFormat="0" applyBorder="0" applyAlignment="0" applyProtection="0"/>
    <xf numFmtId="0" fontId="115" fillId="10" borderId="0" applyNumberFormat="0" applyBorder="0" applyAlignment="0" applyProtection="0"/>
    <xf numFmtId="38" fontId="7" fillId="46" borderId="0" applyNumberFormat="0" applyBorder="0" applyAlignment="0" applyProtection="0"/>
    <xf numFmtId="260" fontId="116" fillId="2" borderId="0" applyBorder="0" applyProtection="0"/>
    <xf numFmtId="0" fontId="117" fillId="0" borderId="18" applyNumberFormat="0" applyFill="0" applyBorder="0" applyAlignment="0" applyProtection="0">
      <alignment horizontal="center" vertical="center"/>
    </xf>
    <xf numFmtId="0" fontId="118" fillId="0" borderId="0" applyNumberFormat="0" applyFont="0" applyBorder="0" applyAlignment="0">
      <alignment horizontal="left" vertical="center"/>
    </xf>
    <xf numFmtId="261" fontId="119" fillId="0" borderId="36" applyFont="0" applyFill="0" applyBorder="0" applyAlignment="0" applyProtection="0">
      <alignment horizontal="right"/>
    </xf>
    <xf numFmtId="0" fontId="120" fillId="47" borderId="0"/>
    <xf numFmtId="0" fontId="121" fillId="0" borderId="0">
      <alignment horizontal="left"/>
    </xf>
    <xf numFmtId="0" fontId="122" fillId="0" borderId="37" applyNumberFormat="0" applyAlignment="0" applyProtection="0">
      <alignment horizontal="left" vertical="center"/>
    </xf>
    <xf numFmtId="0" fontId="122" fillId="0" borderId="15">
      <alignment horizontal="left" vertical="center"/>
    </xf>
    <xf numFmtId="0" fontId="122" fillId="0" borderId="15">
      <alignment horizontal="left" vertical="center"/>
    </xf>
    <xf numFmtId="0" fontId="123" fillId="0" borderId="0" applyNumberFormat="0" applyFill="0" applyBorder="0" applyAlignment="0" applyProtection="0"/>
    <xf numFmtId="0" fontId="95" fillId="0" borderId="29" applyNumberFormat="0" applyFill="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96" fillId="0" borderId="30" applyNumberFormat="0" applyFill="0" applyAlignment="0" applyProtection="0"/>
    <xf numFmtId="0" fontId="122" fillId="0" borderId="0" applyNumberFormat="0" applyFill="0" applyBorder="0" applyAlignment="0" applyProtection="0"/>
    <xf numFmtId="0" fontId="124" fillId="0" borderId="31" applyNumberFormat="0" applyFill="0" applyAlignment="0" applyProtection="0"/>
    <xf numFmtId="0" fontId="97" fillId="0" borderId="31" applyNumberFormat="0" applyFill="0" applyAlignment="0" applyProtection="0"/>
    <xf numFmtId="0" fontId="124" fillId="0" borderId="0" applyNumberFormat="0" applyFill="0" applyBorder="0" applyAlignment="0" applyProtection="0"/>
    <xf numFmtId="0" fontId="97" fillId="0" borderId="0" applyNumberFormat="0" applyFill="0" applyBorder="0" applyAlignment="0" applyProtection="0"/>
    <xf numFmtId="262" fontId="21" fillId="0" borderId="0">
      <protection locked="0"/>
    </xf>
    <xf numFmtId="262" fontId="21" fillId="0" borderId="0">
      <protection locked="0"/>
    </xf>
    <xf numFmtId="0" fontId="125" fillId="0" borderId="38">
      <alignment horizontal="center"/>
    </xf>
    <xf numFmtId="0" fontId="125" fillId="0" borderId="0">
      <alignment horizontal="center"/>
    </xf>
    <xf numFmtId="218" fontId="126" fillId="48" borderId="1" applyNumberFormat="0" applyAlignment="0">
      <alignment horizontal="left" vertical="top"/>
    </xf>
    <xf numFmtId="218" fontId="126" fillId="48" borderId="1" applyNumberFormat="0" applyAlignment="0">
      <alignment horizontal="left" vertical="top"/>
    </xf>
    <xf numFmtId="0" fontId="127" fillId="0" borderId="0"/>
    <xf numFmtId="49" fontId="128" fillId="0" borderId="1">
      <alignment vertical="center"/>
    </xf>
    <xf numFmtId="49" fontId="128" fillId="0" borderId="1">
      <alignment vertical="center"/>
    </xf>
    <xf numFmtId="0" fontId="16" fillId="0" borderId="0"/>
    <xf numFmtId="164" fontId="22" fillId="0" borderId="0" applyFont="0" applyFill="0" applyBorder="0" applyAlignment="0" applyProtection="0"/>
    <xf numFmtId="38" fontId="37" fillId="0" borderId="0" applyFont="0" applyFill="0" applyBorder="0" applyAlignment="0" applyProtection="0"/>
    <xf numFmtId="212" fontId="36" fillId="0" borderId="0" applyFont="0" applyFill="0" applyBorder="0" applyAlignment="0" applyProtection="0"/>
    <xf numFmtId="263" fontId="129" fillId="0" borderId="0" applyFont="0" applyFill="0" applyBorder="0" applyAlignment="0" applyProtection="0"/>
    <xf numFmtId="10" fontId="7" fillId="46" borderId="1" applyNumberFormat="0" applyBorder="0" applyAlignment="0" applyProtection="0"/>
    <xf numFmtId="10" fontId="7" fillId="46" borderId="1" applyNumberFormat="0" applyBorder="0" applyAlignment="0" applyProtection="0"/>
    <xf numFmtId="0" fontId="130" fillId="15" borderId="25" applyNumberFormat="0" applyAlignment="0" applyProtection="0"/>
    <xf numFmtId="0" fontId="130" fillId="15" borderId="25" applyNumberFormat="0" applyAlignment="0" applyProtection="0"/>
    <xf numFmtId="0" fontId="93" fillId="16" borderId="25" applyNumberFormat="0" applyAlignment="0" applyProtection="0"/>
    <xf numFmtId="0" fontId="93" fillId="16" borderId="25" applyNumberFormat="0" applyAlignment="0" applyProtection="0"/>
    <xf numFmtId="0" fontId="93" fillId="16" borderId="25" applyNumberFormat="0" applyAlignment="0" applyProtection="0"/>
    <xf numFmtId="0" fontId="93" fillId="16" borderId="25" applyNumberFormat="0" applyAlignment="0" applyProtection="0"/>
    <xf numFmtId="0" fontId="93" fillId="16" borderId="25" applyNumberFormat="0" applyAlignment="0" applyProtection="0"/>
    <xf numFmtId="2" fontId="40" fillId="0" borderId="14" applyBorder="0"/>
    <xf numFmtId="2" fontId="40" fillId="0" borderId="14" applyBorder="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64" fontId="22" fillId="0" borderId="0" applyFont="0" applyFill="0" applyBorder="0" applyAlignment="0" applyProtection="0"/>
    <xf numFmtId="0" fontId="22" fillId="0" borderId="0"/>
    <xf numFmtId="2" fontId="134" fillId="0" borderId="3" applyBorder="0"/>
    <xf numFmtId="2" fontId="134" fillId="0" borderId="3" applyBorder="0"/>
    <xf numFmtId="0" fontId="65" fillId="0" borderId="39">
      <alignment horizontal="centerContinuous"/>
    </xf>
    <xf numFmtId="0" fontId="65" fillId="0" borderId="39">
      <alignment horizontal="centerContinuous"/>
    </xf>
    <xf numFmtId="0" fontId="79" fillId="42" borderId="26" applyNumberFormat="0" applyAlignment="0" applyProtection="0"/>
    <xf numFmtId="0" fontId="135" fillId="0" borderId="40">
      <alignment horizontal="center" vertical="center" wrapText="1"/>
    </xf>
    <xf numFmtId="0" fontId="82" fillId="46" borderId="0" applyNumberFormat="0" applyFont="0" applyBorder="0" applyAlignment="0"/>
    <xf numFmtId="0" fontId="82" fillId="46" borderId="0" applyNumberFormat="0" applyFont="0" applyBorder="0" applyAlignment="0"/>
    <xf numFmtId="0" fontId="37" fillId="0" borderId="0"/>
    <xf numFmtId="0" fontId="58" fillId="0" borderId="0"/>
    <xf numFmtId="0" fontId="136" fillId="0" borderId="0"/>
    <xf numFmtId="0" fontId="58" fillId="0" borderId="0"/>
    <xf numFmtId="0" fontId="16" fillId="0" borderId="0" applyNumberFormat="0" applyFont="0" applyFill="0" applyBorder="0" applyProtection="0">
      <alignment horizontal="left" vertical="center"/>
    </xf>
    <xf numFmtId="0" fontId="37" fillId="0" borderId="0"/>
    <xf numFmtId="181" fontId="74" fillId="0" borderId="0" applyFill="0" applyBorder="0" applyAlignment="0"/>
    <xf numFmtId="228" fontId="74"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137" fillId="0" borderId="41" applyNumberFormat="0" applyFill="0" applyAlignment="0" applyProtection="0"/>
    <xf numFmtId="0" fontId="138" fillId="0" borderId="41" applyNumberFormat="0" applyFill="0" applyAlignment="0" applyProtection="0"/>
    <xf numFmtId="243" fontId="139" fillId="0" borderId="17" applyNumberFormat="0" applyFont="0" applyFill="0" applyBorder="0">
      <alignment horizontal="center"/>
    </xf>
    <xf numFmtId="38" fontId="37" fillId="0" borderId="0" applyFont="0" applyFill="0" applyBorder="0" applyAlignment="0" applyProtection="0"/>
    <xf numFmtId="4" fontId="74" fillId="0" borderId="0" applyFont="0" applyFill="0" applyBorder="0" applyAlignment="0" applyProtection="0"/>
    <xf numFmtId="210" fontId="16" fillId="0" borderId="0" applyFont="0" applyFill="0" applyBorder="0" applyAlignment="0" applyProtection="0"/>
    <xf numFmtId="40" fontId="37"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0" fontId="140" fillId="0" borderId="38"/>
    <xf numFmtId="264" fontId="141" fillId="0" borderId="17"/>
    <xf numFmtId="265" fontId="37" fillId="0" borderId="0" applyFont="0" applyFill="0" applyBorder="0" applyAlignment="0" applyProtection="0"/>
    <xf numFmtId="266" fontId="37" fillId="0" borderId="0" applyFont="0" applyFill="0" applyBorder="0" applyAlignment="0" applyProtection="0"/>
    <xf numFmtId="165" fontId="102" fillId="0" borderId="0">
      <protection locked="0"/>
    </xf>
    <xf numFmtId="267" fontId="15" fillId="0" borderId="0" applyFont="0" applyFill="0" applyBorder="0" applyAlignment="0" applyProtection="0"/>
    <xf numFmtId="165" fontId="102" fillId="0" borderId="0">
      <protection locked="0"/>
    </xf>
    <xf numFmtId="165" fontId="102" fillId="0" borderId="0">
      <protection locked="0"/>
    </xf>
    <xf numFmtId="268" fontId="15" fillId="0" borderId="0" applyFont="0" applyFill="0" applyBorder="0" applyAlignment="0" applyProtection="0"/>
    <xf numFmtId="0" fontId="136" fillId="0" borderId="0" applyNumberFormat="0" applyFont="0" applyFill="0" applyAlignment="0"/>
    <xf numFmtId="0" fontId="136" fillId="0" borderId="0" applyNumberFormat="0" applyFont="0" applyFill="0" applyAlignment="0"/>
    <xf numFmtId="0" fontId="25" fillId="0" borderId="0" applyNumberFormat="0" applyFill="0" applyAlignment="0"/>
    <xf numFmtId="0" fontId="25" fillId="0" borderId="0" applyNumberFormat="0" applyFill="0" applyAlignment="0"/>
    <xf numFmtId="0" fontId="136" fillId="0" borderId="0" applyNumberFormat="0" applyFont="0" applyFill="0" applyAlignment="0"/>
    <xf numFmtId="0" fontId="142" fillId="49" borderId="0" applyNumberFormat="0" applyBorder="0" applyAlignment="0" applyProtection="0"/>
    <xf numFmtId="0" fontId="143" fillId="50" borderId="0" applyNumberFormat="0" applyBorder="0" applyAlignment="0" applyProtection="0"/>
    <xf numFmtId="0" fontId="41" fillId="0" borderId="1"/>
    <xf numFmtId="0" fontId="41" fillId="0" borderId="1"/>
    <xf numFmtId="0" fontId="16" fillId="0" borderId="0"/>
    <xf numFmtId="0" fontId="26" fillId="0" borderId="13" applyNumberFormat="0" applyAlignment="0">
      <alignment horizontal="center"/>
    </xf>
    <xf numFmtId="0" fontId="62" fillId="33" borderId="0" applyNumberFormat="0" applyBorder="0" applyAlignment="0" applyProtection="0"/>
    <xf numFmtId="0" fontId="62" fillId="35" borderId="0" applyNumberFormat="0" applyBorder="0" applyAlignment="0" applyProtection="0"/>
    <xf numFmtId="0" fontId="62" fillId="37"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39" borderId="0" applyNumberFormat="0" applyBorder="0" applyAlignment="0" applyProtection="0"/>
    <xf numFmtId="37" fontId="144" fillId="0" borderId="0"/>
    <xf numFmtId="0" fontId="145" fillId="0" borderId="1" applyNumberFormat="0" applyFont="0" applyFill="0" applyBorder="0" applyAlignment="0">
      <alignment horizontal="center"/>
    </xf>
    <xf numFmtId="0" fontId="145" fillId="0" borderId="1" applyNumberFormat="0" applyFont="0" applyFill="0" applyBorder="0" applyAlignment="0">
      <alignment horizontal="center"/>
    </xf>
    <xf numFmtId="0" fontId="146" fillId="0" borderId="0"/>
    <xf numFmtId="269" fontId="24" fillId="0" borderId="0"/>
    <xf numFmtId="270" fontId="22" fillId="0" borderId="0"/>
    <xf numFmtId="270" fontId="22" fillId="0" borderId="0"/>
    <xf numFmtId="0" fontId="15" fillId="0" borderId="0"/>
    <xf numFmtId="270" fontId="22" fillId="0" borderId="0"/>
    <xf numFmtId="270" fontId="22" fillId="0" borderId="0"/>
    <xf numFmtId="271" fontId="39" fillId="0" borderId="0"/>
    <xf numFmtId="271" fontId="39" fillId="0" borderId="0"/>
    <xf numFmtId="271" fontId="39" fillId="0" borderId="0"/>
    <xf numFmtId="271" fontId="39" fillId="0" borderId="0"/>
    <xf numFmtId="271" fontId="39" fillId="0" borderId="0"/>
    <xf numFmtId="269" fontId="24" fillId="0" borderId="0"/>
    <xf numFmtId="269" fontId="24" fillId="0" borderId="0"/>
    <xf numFmtId="272" fontId="22" fillId="0" borderId="0"/>
    <xf numFmtId="0" fontId="147" fillId="0" borderId="0"/>
    <xf numFmtId="0" fontId="88" fillId="0" borderId="0"/>
    <xf numFmtId="0" fontId="58" fillId="0" borderId="0"/>
    <xf numFmtId="0" fontId="58" fillId="0" borderId="0"/>
    <xf numFmtId="0" fontId="148" fillId="0" borderId="0"/>
    <xf numFmtId="0" fontId="58" fillId="0" borderId="0"/>
    <xf numFmtId="0" fontId="86" fillId="0" borderId="0"/>
    <xf numFmtId="0" fontId="58" fillId="0" borderId="0"/>
    <xf numFmtId="0" fontId="14" fillId="0" borderId="0"/>
    <xf numFmtId="0" fontId="5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9" fillId="0" borderId="0"/>
    <xf numFmtId="0" fontId="14" fillId="0" borderId="0"/>
    <xf numFmtId="0" fontId="14" fillId="0" borderId="0"/>
    <xf numFmtId="0" fontId="14" fillId="0" borderId="0"/>
    <xf numFmtId="0" fontId="150" fillId="0" borderId="0"/>
    <xf numFmtId="0" fontId="15" fillId="0" borderId="0"/>
    <xf numFmtId="0" fontId="27" fillId="0" borderId="0"/>
    <xf numFmtId="3" fontId="41" fillId="0" borderId="0"/>
    <xf numFmtId="0" fontId="15" fillId="0" borderId="0"/>
    <xf numFmtId="0" fontId="25" fillId="0" borderId="0"/>
    <xf numFmtId="0" fontId="18"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88" fillId="0" borderId="0"/>
    <xf numFmtId="0" fontId="88" fillId="0" borderId="0"/>
    <xf numFmtId="0" fontId="15" fillId="0" borderId="0"/>
    <xf numFmtId="0" fontId="151" fillId="0" borderId="0" applyProtection="0"/>
    <xf numFmtId="0" fontId="151" fillId="0" borderId="0" applyProtection="0"/>
    <xf numFmtId="0" fontId="152" fillId="0" borderId="0"/>
    <xf numFmtId="0" fontId="58" fillId="0" borderId="0"/>
    <xf numFmtId="0" fontId="15" fillId="0" borderId="0"/>
    <xf numFmtId="0" fontId="58" fillId="0" borderId="0"/>
    <xf numFmtId="0" fontId="86" fillId="0" borderId="0"/>
    <xf numFmtId="0" fontId="58" fillId="0" borderId="0"/>
    <xf numFmtId="0" fontId="58" fillId="0" borderId="0"/>
    <xf numFmtId="0" fontId="15" fillId="0" borderId="0"/>
    <xf numFmtId="0" fontId="153" fillId="0" borderId="0"/>
    <xf numFmtId="0" fontId="153" fillId="0" borderId="0"/>
    <xf numFmtId="0" fontId="153" fillId="0" borderId="0"/>
    <xf numFmtId="0" fontId="153" fillId="0" borderId="0"/>
    <xf numFmtId="0" fontId="15" fillId="0" borderId="0"/>
    <xf numFmtId="0" fontId="15" fillId="0" borderId="0"/>
    <xf numFmtId="0" fontId="15" fillId="0" borderId="0"/>
    <xf numFmtId="0" fontId="14" fillId="0" borderId="0"/>
    <xf numFmtId="0" fontId="153" fillId="0" borderId="0"/>
    <xf numFmtId="0" fontId="154" fillId="0" borderId="0"/>
    <xf numFmtId="0" fontId="86" fillId="0" borderId="0"/>
    <xf numFmtId="0" fontId="155" fillId="0" borderId="0"/>
    <xf numFmtId="0" fontId="14" fillId="0" borderId="0"/>
    <xf numFmtId="0" fontId="156" fillId="0" borderId="0"/>
    <xf numFmtId="0" fontId="15" fillId="0" borderId="0"/>
    <xf numFmtId="0" fontId="25" fillId="0" borderId="0"/>
    <xf numFmtId="0" fontId="86" fillId="0" borderId="0"/>
    <xf numFmtId="0" fontId="15" fillId="0" borderId="0"/>
    <xf numFmtId="0" fontId="15" fillId="0" borderId="0"/>
    <xf numFmtId="0" fontId="15" fillId="0" borderId="0"/>
    <xf numFmtId="0" fontId="86" fillId="0" borderId="0"/>
    <xf numFmtId="0" fontId="18" fillId="0" borderId="0"/>
    <xf numFmtId="0" fontId="14" fillId="0" borderId="0"/>
    <xf numFmtId="0" fontId="18" fillId="0" borderId="0"/>
    <xf numFmtId="0" fontId="18" fillId="0" borderId="0"/>
    <xf numFmtId="0" fontId="18" fillId="0" borderId="0"/>
    <xf numFmtId="0" fontId="18" fillId="0" borderId="0"/>
    <xf numFmtId="0" fontId="14" fillId="0" borderId="0"/>
    <xf numFmtId="0" fontId="157" fillId="0" borderId="0"/>
    <xf numFmtId="0" fontId="158" fillId="0" borderId="0" applyNumberFormat="0" applyFill="0" applyBorder="0" applyProtection="0">
      <alignment vertical="top"/>
    </xf>
    <xf numFmtId="0" fontId="14" fillId="0" borderId="0"/>
    <xf numFmtId="0" fontId="86" fillId="0" borderId="0"/>
    <xf numFmtId="0" fontId="148" fillId="0" borderId="0"/>
    <xf numFmtId="0" fontId="14" fillId="0" borderId="0"/>
    <xf numFmtId="0" fontId="58" fillId="0" borderId="0"/>
    <xf numFmtId="0" fontId="14" fillId="0" borderId="0"/>
    <xf numFmtId="0" fontId="14" fillId="0" borderId="0"/>
    <xf numFmtId="0" fontId="58" fillId="0" borderId="0"/>
    <xf numFmtId="0" fontId="15" fillId="0" borderId="0"/>
    <xf numFmtId="0" fontId="22" fillId="0" borderId="0"/>
    <xf numFmtId="0" fontId="47" fillId="0" borderId="0" applyFont="0"/>
    <xf numFmtId="0" fontId="159" fillId="0" borderId="0">
      <alignment horizontal="left" vertical="top"/>
    </xf>
    <xf numFmtId="0" fontId="74" fillId="46" borderId="0"/>
    <xf numFmtId="0" fontId="99" fillId="0" borderId="0"/>
    <xf numFmtId="0" fontId="15" fillId="45" borderId="35" applyNumberFormat="0" applyFont="0" applyAlignment="0" applyProtection="0"/>
    <xf numFmtId="0" fontId="15" fillId="45" borderId="35" applyNumberFormat="0" applyFont="0" applyAlignment="0" applyProtection="0"/>
    <xf numFmtId="0" fontId="15" fillId="51" borderId="35" applyNumberFormat="0" applyAlignment="0" applyProtection="0"/>
    <xf numFmtId="273" fontId="42" fillId="0" borderId="0" applyFont="0" applyFill="0" applyBorder="0" applyProtection="0">
      <alignment vertical="top" wrapText="1"/>
    </xf>
    <xf numFmtId="0" fontId="138" fillId="0" borderId="41" applyNumberFormat="0" applyFill="0" applyAlignment="0" applyProtection="0"/>
    <xf numFmtId="0" fontId="26" fillId="0" borderId="0"/>
    <xf numFmtId="165" fontId="45" fillId="0" borderId="0" applyFont="0" applyFill="0" applyBorder="0" applyAlignment="0" applyProtection="0"/>
    <xf numFmtId="164" fontId="45" fillId="0" borderId="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25" fillId="0" borderId="0" applyFill="0" applyBorder="0" applyAlignment="0" applyProtection="0"/>
    <xf numFmtId="0" fontId="16" fillId="0" borderId="0"/>
    <xf numFmtId="0" fontId="161" fillId="41" borderId="28" applyNumberFormat="0" applyAlignment="0" applyProtection="0"/>
    <xf numFmtId="0" fontId="161" fillId="41" borderId="28" applyNumberFormat="0" applyAlignment="0" applyProtection="0"/>
    <xf numFmtId="0" fontId="92" fillId="3" borderId="28" applyNumberFormat="0" applyAlignment="0" applyProtection="0"/>
    <xf numFmtId="170" fontId="162" fillId="0" borderId="13" applyFont="0" applyBorder="0" applyAlignment="0"/>
    <xf numFmtId="0" fontId="163" fillId="46" borderId="0"/>
    <xf numFmtId="166" fontId="15" fillId="0" borderId="0" applyFont="0" applyFill="0" applyBorder="0" applyAlignment="0" applyProtection="0"/>
    <xf numFmtId="14" fontId="65" fillId="0" borderId="0">
      <alignment horizontal="center" wrapText="1"/>
      <protection locked="0"/>
    </xf>
    <xf numFmtId="231" fontId="15" fillId="0" borderId="0" applyFont="0" applyFill="0" applyBorder="0" applyAlignment="0" applyProtection="0"/>
    <xf numFmtId="241"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58" fillId="0" borderId="0" applyFont="0" applyFill="0" applyBorder="0" applyAlignment="0" applyProtection="0"/>
    <xf numFmtId="9" fontId="155" fillId="0" borderId="0" applyFont="0" applyFill="0" applyBorder="0" applyAlignment="0" applyProtection="0"/>
    <xf numFmtId="9" fontId="5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5" fillId="0" borderId="0" applyFont="0" applyFill="0" applyBorder="0" applyAlignment="0" applyProtection="0"/>
    <xf numFmtId="9" fontId="37" fillId="0" borderId="42" applyNumberFormat="0" applyBorder="0"/>
    <xf numFmtId="0" fontId="15" fillId="0" borderId="0"/>
    <xf numFmtId="170" fontId="102" fillId="0" borderId="0">
      <protection locked="0"/>
    </xf>
    <xf numFmtId="170" fontId="102" fillId="0" borderId="0">
      <protection locked="0"/>
    </xf>
    <xf numFmtId="181" fontId="74" fillId="0" borderId="0" applyFill="0" applyBorder="0" applyAlignment="0"/>
    <xf numFmtId="228" fontId="74"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164" fillId="0" borderId="0"/>
    <xf numFmtId="0" fontId="37" fillId="0" borderId="0" applyNumberFormat="0" applyFont="0" applyFill="0" applyBorder="0" applyAlignment="0" applyProtection="0">
      <alignment horizontal="left"/>
    </xf>
    <xf numFmtId="0" fontId="165" fillId="0" borderId="38">
      <alignment horizontal="center"/>
    </xf>
    <xf numFmtId="0" fontId="166" fillId="52" borderId="0" applyNumberFormat="0" applyFont="0" applyBorder="0" applyAlignment="0">
      <alignment horizontal="center"/>
    </xf>
    <xf numFmtId="14" fontId="167" fillId="0" borderId="0" applyNumberFormat="0" applyFill="0" applyBorder="0" applyAlignment="0" applyProtection="0">
      <alignment horizontal="left"/>
    </xf>
    <xf numFmtId="0" fontId="132" fillId="0" borderId="0" applyNumberFormat="0" applyFill="0" applyBorder="0" applyAlignment="0" applyProtection="0">
      <alignment vertical="top"/>
      <protection locked="0"/>
    </xf>
    <xf numFmtId="0" fontId="26" fillId="0" borderId="0"/>
    <xf numFmtId="212" fontId="36" fillId="0" borderId="0" applyFont="0" applyFill="0" applyBorder="0" applyAlignment="0" applyProtection="0"/>
    <xf numFmtId="0" fontId="22" fillId="0" borderId="0" applyNumberFormat="0" applyFill="0" applyBorder="0" applyAlignment="0" applyProtection="0"/>
    <xf numFmtId="4" fontId="168" fillId="53" borderId="43" applyNumberFormat="0" applyProtection="0">
      <alignment vertical="center"/>
    </xf>
    <xf numFmtId="4" fontId="168" fillId="53" borderId="43" applyNumberFormat="0" applyProtection="0">
      <alignment vertical="center"/>
    </xf>
    <xf numFmtId="4" fontId="169" fillId="53" borderId="43" applyNumberFormat="0" applyProtection="0">
      <alignment vertical="center"/>
    </xf>
    <xf numFmtId="4" fontId="169" fillId="53" borderId="43" applyNumberFormat="0" applyProtection="0">
      <alignment vertical="center"/>
    </xf>
    <xf numFmtId="4" fontId="170" fillId="53" borderId="43" applyNumberFormat="0" applyProtection="0">
      <alignment horizontal="left" vertical="center" indent="1"/>
    </xf>
    <xf numFmtId="4" fontId="170" fillId="53" borderId="43" applyNumberFormat="0" applyProtection="0">
      <alignment horizontal="left" vertical="center" indent="1"/>
    </xf>
    <xf numFmtId="4" fontId="170" fillId="54" borderId="0" applyNumberFormat="0" applyProtection="0">
      <alignment horizontal="left" vertical="center" indent="1"/>
    </xf>
    <xf numFmtId="4" fontId="170" fillId="55" borderId="43" applyNumberFormat="0" applyProtection="0">
      <alignment horizontal="right" vertical="center"/>
    </xf>
    <xf numFmtId="4" fontId="170" fillId="55" borderId="43" applyNumberFormat="0" applyProtection="0">
      <alignment horizontal="right" vertical="center"/>
    </xf>
    <xf numFmtId="4" fontId="170" fillId="56" borderId="43" applyNumberFormat="0" applyProtection="0">
      <alignment horizontal="right" vertical="center"/>
    </xf>
    <xf numFmtId="4" fontId="170" fillId="56" borderId="43" applyNumberFormat="0" applyProtection="0">
      <alignment horizontal="right" vertical="center"/>
    </xf>
    <xf numFmtId="4" fontId="170" fillId="57" borderId="43" applyNumberFormat="0" applyProtection="0">
      <alignment horizontal="right" vertical="center"/>
    </xf>
    <xf numFmtId="4" fontId="170" fillId="57" borderId="43" applyNumberFormat="0" applyProtection="0">
      <alignment horizontal="right" vertical="center"/>
    </xf>
    <xf numFmtId="4" fontId="170" fillId="58" borderId="43" applyNumberFormat="0" applyProtection="0">
      <alignment horizontal="right" vertical="center"/>
    </xf>
    <xf numFmtId="4" fontId="170" fillId="58" borderId="43" applyNumberFormat="0" applyProtection="0">
      <alignment horizontal="right" vertical="center"/>
    </xf>
    <xf numFmtId="4" fontId="170" fillId="59" borderId="43" applyNumberFormat="0" applyProtection="0">
      <alignment horizontal="right" vertical="center"/>
    </xf>
    <xf numFmtId="4" fontId="170" fillId="59" borderId="43" applyNumberFormat="0" applyProtection="0">
      <alignment horizontal="right" vertical="center"/>
    </xf>
    <xf numFmtId="4" fontId="170" fillId="60" borderId="43" applyNumberFormat="0" applyProtection="0">
      <alignment horizontal="right" vertical="center"/>
    </xf>
    <xf numFmtId="4" fontId="170" fillId="60" borderId="43" applyNumberFormat="0" applyProtection="0">
      <alignment horizontal="right" vertical="center"/>
    </xf>
    <xf numFmtId="4" fontId="170" fillId="61" borderId="43" applyNumberFormat="0" applyProtection="0">
      <alignment horizontal="right" vertical="center"/>
    </xf>
    <xf numFmtId="4" fontId="170" fillId="61" borderId="43" applyNumberFormat="0" applyProtection="0">
      <alignment horizontal="right" vertical="center"/>
    </xf>
    <xf numFmtId="4" fontId="170" fillId="62" borderId="43" applyNumberFormat="0" applyProtection="0">
      <alignment horizontal="right" vertical="center"/>
    </xf>
    <xf numFmtId="4" fontId="170" fillId="62" borderId="43" applyNumberFormat="0" applyProtection="0">
      <alignment horizontal="right" vertical="center"/>
    </xf>
    <xf numFmtId="4" fontId="170" fillId="63" borderId="43" applyNumberFormat="0" applyProtection="0">
      <alignment horizontal="right" vertical="center"/>
    </xf>
    <xf numFmtId="4" fontId="170" fillId="63" borderId="43" applyNumberFormat="0" applyProtection="0">
      <alignment horizontal="right" vertical="center"/>
    </xf>
    <xf numFmtId="4" fontId="168" fillId="64" borderId="44" applyNumberFormat="0" applyProtection="0">
      <alignment horizontal="left" vertical="center" indent="1"/>
    </xf>
    <xf numFmtId="4" fontId="168" fillId="65" borderId="0" applyNumberFormat="0" applyProtection="0">
      <alignment horizontal="left" vertical="center" indent="1"/>
    </xf>
    <xf numFmtId="4" fontId="168" fillId="54" borderId="0" applyNumberFormat="0" applyProtection="0">
      <alignment horizontal="left" vertical="center" indent="1"/>
    </xf>
    <xf numFmtId="4" fontId="170" fillId="65" borderId="43" applyNumberFormat="0" applyProtection="0">
      <alignment horizontal="right" vertical="center"/>
    </xf>
    <xf numFmtId="4" fontId="170" fillId="65" borderId="43" applyNumberFormat="0" applyProtection="0">
      <alignment horizontal="right" vertical="center"/>
    </xf>
    <xf numFmtId="4" fontId="38" fillId="65" borderId="0" applyNumberFormat="0" applyProtection="0">
      <alignment horizontal="left" vertical="center" indent="1"/>
    </xf>
    <xf numFmtId="4" fontId="38" fillId="54" borderId="0" applyNumberFormat="0" applyProtection="0">
      <alignment horizontal="left" vertical="center" indent="1"/>
    </xf>
    <xf numFmtId="4" fontId="170" fillId="66" borderId="43" applyNumberFormat="0" applyProtection="0">
      <alignment vertical="center"/>
    </xf>
    <xf numFmtId="4" fontId="170" fillId="66" borderId="43" applyNumberFormat="0" applyProtection="0">
      <alignment vertical="center"/>
    </xf>
    <xf numFmtId="4" fontId="171" fillId="66" borderId="43" applyNumberFormat="0" applyProtection="0">
      <alignment vertical="center"/>
    </xf>
    <xf numFmtId="4" fontId="171" fillId="66" borderId="43" applyNumberFormat="0" applyProtection="0">
      <alignment vertical="center"/>
    </xf>
    <xf numFmtId="4" fontId="168" fillId="65" borderId="45" applyNumberFormat="0" applyProtection="0">
      <alignment horizontal="left" vertical="center" indent="1"/>
    </xf>
    <xf numFmtId="4" fontId="168" fillId="65" borderId="45" applyNumberFormat="0" applyProtection="0">
      <alignment horizontal="left" vertical="center" indent="1"/>
    </xf>
    <xf numFmtId="4" fontId="170" fillId="66" borderId="43" applyNumberFormat="0" applyProtection="0">
      <alignment horizontal="right" vertical="center"/>
    </xf>
    <xf numFmtId="4" fontId="170" fillId="66" borderId="43" applyNumberFormat="0" applyProtection="0">
      <alignment horizontal="right" vertical="center"/>
    </xf>
    <xf numFmtId="4" fontId="171" fillId="66" borderId="43" applyNumberFormat="0" applyProtection="0">
      <alignment horizontal="right" vertical="center"/>
    </xf>
    <xf numFmtId="4" fontId="171" fillId="66" borderId="43" applyNumberFormat="0" applyProtection="0">
      <alignment horizontal="right" vertical="center"/>
    </xf>
    <xf numFmtId="4" fontId="168" fillId="65" borderId="43" applyNumberFormat="0" applyProtection="0">
      <alignment horizontal="left" vertical="center" indent="1"/>
    </xf>
    <xf numFmtId="4" fontId="168" fillId="65" borderId="43" applyNumberFormat="0" applyProtection="0">
      <alignment horizontal="left" vertical="center" indent="1"/>
    </xf>
    <xf numFmtId="4" fontId="172" fillId="48" borderId="45" applyNumberFormat="0" applyProtection="0">
      <alignment horizontal="left" vertical="center" indent="1"/>
    </xf>
    <xf numFmtId="4" fontId="172" fillId="48" borderId="45" applyNumberFormat="0" applyProtection="0">
      <alignment horizontal="left" vertical="center" indent="1"/>
    </xf>
    <xf numFmtId="4" fontId="173" fillId="66" borderId="43" applyNumberFormat="0" applyProtection="0">
      <alignment horizontal="right" vertical="center"/>
    </xf>
    <xf numFmtId="4" fontId="173" fillId="66" borderId="43" applyNumberFormat="0" applyProtection="0">
      <alignment horizontal="right" vertical="center"/>
    </xf>
    <xf numFmtId="274" fontId="174" fillId="0" borderId="0" applyFont="0" applyFill="0" applyBorder="0" applyAlignment="0" applyProtection="0"/>
    <xf numFmtId="0" fontId="166" fillId="1" borderId="15" applyNumberFormat="0" applyFont="0" applyAlignment="0">
      <alignment horizontal="center"/>
    </xf>
    <xf numFmtId="0" fontId="166" fillId="1" borderId="15" applyNumberFormat="0" applyFont="0" applyAlignment="0">
      <alignment horizontal="center"/>
    </xf>
    <xf numFmtId="4" fontId="15" fillId="0" borderId="4" applyBorder="0"/>
    <xf numFmtId="2" fontId="15" fillId="0" borderId="4"/>
    <xf numFmtId="275" fontId="15" fillId="0" borderId="0"/>
    <xf numFmtId="3" fontId="21" fillId="0" borderId="0"/>
    <xf numFmtId="0" fontId="175" fillId="0" borderId="0" applyNumberFormat="0" applyFill="0" applyBorder="0" applyAlignment="0">
      <alignment horizontal="center"/>
    </xf>
    <xf numFmtId="0" fontId="176" fillId="0" borderId="46" applyNumberFormat="0" applyFill="0" applyBorder="0" applyAlignment="0" applyProtection="0"/>
    <xf numFmtId="0" fontId="176" fillId="0" borderId="46" applyNumberFormat="0" applyFill="0" applyBorder="0" applyAlignment="0" applyProtection="0"/>
    <xf numFmtId="0" fontId="15" fillId="0" borderId="0"/>
    <xf numFmtId="1" fontId="15" fillId="0" borderId="0"/>
    <xf numFmtId="170" fontId="177" fillId="0" borderId="0" applyNumberFormat="0" applyBorder="0" applyAlignment="0">
      <alignment horizontal="centerContinuous"/>
    </xf>
    <xf numFmtId="0" fontId="22" fillId="0" borderId="4">
      <alignment horizontal="center"/>
    </xf>
    <xf numFmtId="0" fontId="28" fillId="0" borderId="0"/>
    <xf numFmtId="170" fontId="27"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4" fontId="22"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5" fillId="0" borderId="0" applyFont="0" applyFill="0" applyBorder="0" applyAlignment="0" applyProtection="0"/>
    <xf numFmtId="188" fontId="40" fillId="0" borderId="0" applyFont="0" applyFill="0" applyBorder="0" applyAlignment="0" applyProtection="0"/>
    <xf numFmtId="164" fontId="22"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4" fontId="22" fillId="0" borderId="0" applyFont="0" applyFill="0" applyBorder="0" applyAlignment="0" applyProtection="0"/>
    <xf numFmtId="180"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42" fontId="36" fillId="0" borderId="0" applyFont="0" applyFill="0" applyBorder="0" applyAlignment="0" applyProtection="0"/>
    <xf numFmtId="171" fontId="21" fillId="0" borderId="0" applyFont="0" applyFill="0" applyBorder="0" applyAlignment="0" applyProtection="0"/>
    <xf numFmtId="42" fontId="36" fillId="0" borderId="0" applyFont="0" applyFill="0" applyBorder="0" applyAlignment="0" applyProtection="0"/>
    <xf numFmtId="186" fontId="36" fillId="0" borderId="0" applyFont="0" applyFill="0" applyBorder="0" applyAlignment="0" applyProtection="0"/>
    <xf numFmtId="170" fontId="27"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70" fontId="27"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5" fillId="0" borderId="0" applyFont="0" applyFill="0" applyBorder="0" applyAlignment="0" applyProtection="0"/>
    <xf numFmtId="164"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42" fontId="36" fillId="0" borderId="0" applyFont="0" applyFill="0" applyBorder="0" applyAlignment="0" applyProtection="0"/>
    <xf numFmtId="0" fontId="26" fillId="0" borderId="0"/>
    <xf numFmtId="276" fontId="4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70" fontId="2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42" fontId="36" fillId="0" borderId="0" applyFont="0" applyFill="0" applyBorder="0" applyAlignment="0" applyProtection="0"/>
    <xf numFmtId="205" fontId="36" fillId="0" borderId="0" applyFont="0" applyFill="0" applyBorder="0" applyAlignment="0" applyProtection="0"/>
    <xf numFmtId="185" fontId="21" fillId="0" borderId="0" applyFont="0" applyFill="0" applyBorder="0" applyAlignment="0" applyProtection="0"/>
    <xf numFmtId="185" fontId="36" fillId="0" borderId="0" applyFont="0" applyFill="0" applyBorder="0" applyAlignment="0" applyProtection="0"/>
    <xf numFmtId="0" fontId="26" fillId="0" borderId="0"/>
    <xf numFmtId="276" fontId="4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184" fontId="36" fillId="0" borderId="0" applyFont="0" applyFill="0" applyBorder="0" applyAlignment="0" applyProtection="0"/>
    <xf numFmtId="219" fontId="36" fillId="0" borderId="0" applyFont="0" applyFill="0" applyBorder="0" applyAlignment="0" applyProtection="0"/>
    <xf numFmtId="220" fontId="15"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70" fontId="2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66" fontId="36" fillId="0" borderId="0" applyFont="0" applyFill="0" applyBorder="0" applyAlignment="0" applyProtection="0"/>
    <xf numFmtId="184" fontId="21" fillId="0" borderId="0" applyFont="0" applyFill="0" applyBorder="0" applyAlignment="0" applyProtection="0"/>
    <xf numFmtId="166"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16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212"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4" fontId="178" fillId="0" borderId="0"/>
    <xf numFmtId="14" fontId="178" fillId="0" borderId="0"/>
    <xf numFmtId="0" fontId="179" fillId="0" borderId="0"/>
    <xf numFmtId="0" fontId="140" fillId="0" borderId="0"/>
    <xf numFmtId="40" fontId="180" fillId="0" borderId="0" applyBorder="0">
      <alignment horizontal="right"/>
    </xf>
    <xf numFmtId="0" fontId="181" fillId="0" borderId="0"/>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180" fontId="182" fillId="0" borderId="14">
      <alignment horizontal="right" vertical="center"/>
    </xf>
    <xf numFmtId="180" fontId="182" fillId="0" borderId="14">
      <alignment horizontal="right" vertical="center"/>
    </xf>
    <xf numFmtId="200" fontId="63" fillId="0" borderId="14">
      <alignment horizontal="right" vertical="center"/>
    </xf>
    <xf numFmtId="200" fontId="63"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8" fontId="41" fillId="0" borderId="47">
      <alignment horizontal="right" vertical="center"/>
    </xf>
    <xf numFmtId="278" fontId="41" fillId="0" borderId="47">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77" fontId="41" fillId="0" borderId="14">
      <alignment horizontal="right" vertical="center"/>
    </xf>
    <xf numFmtId="277" fontId="41" fillId="0" borderId="14">
      <alignment horizontal="right" vertical="center"/>
    </xf>
    <xf numFmtId="278" fontId="41" fillId="0" borderId="47">
      <alignment horizontal="right" vertical="center"/>
    </xf>
    <xf numFmtId="278" fontId="41" fillId="0" borderId="47">
      <alignment horizontal="right" vertical="center"/>
    </xf>
    <xf numFmtId="181" fontId="26" fillId="0" borderId="14">
      <alignment horizontal="right" vertical="center"/>
    </xf>
    <xf numFmtId="181" fontId="26"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181" fontId="26" fillId="0" borderId="14">
      <alignment horizontal="right" vertical="center"/>
    </xf>
    <xf numFmtId="181" fontId="26" fillId="0" borderId="14">
      <alignment horizontal="right" vertical="center"/>
    </xf>
    <xf numFmtId="202" fontId="22" fillId="0" borderId="14">
      <alignment horizontal="right" vertical="center"/>
    </xf>
    <xf numFmtId="202" fontId="22" fillId="0" borderId="14">
      <alignment horizontal="right" vertical="center"/>
    </xf>
    <xf numFmtId="279" fontId="22" fillId="0" borderId="14">
      <alignment horizontal="right" vertical="center"/>
    </xf>
    <xf numFmtId="279" fontId="22" fillId="0" borderId="14">
      <alignment horizontal="right" vertical="center"/>
    </xf>
    <xf numFmtId="280" fontId="36" fillId="0" borderId="14">
      <alignment horizontal="right" vertical="center"/>
    </xf>
    <xf numFmtId="280" fontId="36" fillId="0" borderId="14">
      <alignment horizontal="right" vertical="center"/>
    </xf>
    <xf numFmtId="281" fontId="22" fillId="0" borderId="14">
      <alignment horizontal="right" vertical="center"/>
    </xf>
    <xf numFmtId="281" fontId="22" fillId="0" borderId="14">
      <alignment horizontal="right" vertical="center"/>
    </xf>
    <xf numFmtId="281" fontId="22" fillId="0" borderId="14">
      <alignment horizontal="right" vertical="center"/>
    </xf>
    <xf numFmtId="281" fontId="22" fillId="0" borderId="14">
      <alignment horizontal="right" vertical="center"/>
    </xf>
    <xf numFmtId="279" fontId="22" fillId="0" borderId="14">
      <alignment horizontal="right" vertical="center"/>
    </xf>
    <xf numFmtId="279" fontId="22" fillId="0" borderId="14">
      <alignment horizontal="right" vertical="center"/>
    </xf>
    <xf numFmtId="181" fontId="26" fillId="0" borderId="14">
      <alignment horizontal="right" vertical="center"/>
    </xf>
    <xf numFmtId="181" fontId="26" fillId="0" borderId="14">
      <alignment horizontal="right" vertical="center"/>
    </xf>
    <xf numFmtId="202" fontId="22" fillId="0" borderId="14">
      <alignment horizontal="right" vertical="center"/>
    </xf>
    <xf numFmtId="202" fontId="22" fillId="0" borderId="14">
      <alignment horizontal="right" vertical="center"/>
    </xf>
    <xf numFmtId="181" fontId="26" fillId="0" borderId="14">
      <alignment horizontal="right" vertical="center"/>
    </xf>
    <xf numFmtId="181" fontId="26"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82" fontId="21" fillId="0" borderId="14">
      <alignment horizontal="right" vertical="center"/>
    </xf>
    <xf numFmtId="282" fontId="21" fillId="0" borderId="14">
      <alignment horizontal="right" vertical="center"/>
    </xf>
    <xf numFmtId="181" fontId="26" fillId="0" borderId="14">
      <alignment horizontal="right" vertical="center"/>
    </xf>
    <xf numFmtId="181" fontId="26" fillId="0" borderId="14">
      <alignment horizontal="right" vertical="center"/>
    </xf>
    <xf numFmtId="278" fontId="41" fillId="0" borderId="47">
      <alignment horizontal="right" vertical="center"/>
    </xf>
    <xf numFmtId="278" fontId="41" fillId="0" borderId="47">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8" fontId="41" fillId="0" borderId="47">
      <alignment horizontal="right" vertical="center"/>
    </xf>
    <xf numFmtId="278" fontId="41" fillId="0" borderId="47">
      <alignment horizontal="right" vertical="center"/>
    </xf>
    <xf numFmtId="279" fontId="22" fillId="0" borderId="14">
      <alignment horizontal="right" vertical="center"/>
    </xf>
    <xf numFmtId="279" fontId="22" fillId="0" borderId="14">
      <alignment horizontal="right" vertical="center"/>
    </xf>
    <xf numFmtId="280" fontId="36" fillId="0" borderId="14">
      <alignment horizontal="right" vertical="center"/>
    </xf>
    <xf numFmtId="280" fontId="36" fillId="0" borderId="14">
      <alignment horizontal="right" vertical="center"/>
    </xf>
    <xf numFmtId="279" fontId="22" fillId="0" borderId="14">
      <alignment horizontal="right" vertical="center"/>
    </xf>
    <xf numFmtId="279" fontId="22" fillId="0" borderId="14">
      <alignment horizontal="right" vertical="center"/>
    </xf>
    <xf numFmtId="281" fontId="22" fillId="0" borderId="14">
      <alignment horizontal="right" vertical="center"/>
    </xf>
    <xf numFmtId="281" fontId="22"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9" fontId="22" fillId="0" borderId="14">
      <alignment horizontal="right" vertical="center"/>
    </xf>
    <xf numFmtId="279" fontId="22" fillId="0" borderId="14">
      <alignment horizontal="right" vertical="center"/>
    </xf>
    <xf numFmtId="283" fontId="183" fillId="2" borderId="48" applyFont="0" applyFill="0" applyBorder="0"/>
    <xf numFmtId="279" fontId="22" fillId="0" borderId="14">
      <alignment horizontal="right" vertical="center"/>
    </xf>
    <xf numFmtId="279" fontId="22" fillId="0" borderId="14">
      <alignment horizontal="right" vertical="center"/>
    </xf>
    <xf numFmtId="278" fontId="41" fillId="0" borderId="47">
      <alignment horizontal="right" vertical="center"/>
    </xf>
    <xf numFmtId="278" fontId="41" fillId="0" borderId="47">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18" fontId="41" fillId="0" borderId="14">
      <alignment horizontal="right" vertical="center"/>
    </xf>
    <xf numFmtId="218" fontId="41" fillId="0" borderId="14">
      <alignment horizontal="right" vertical="center"/>
    </xf>
    <xf numFmtId="283" fontId="183" fillId="2" borderId="48" applyFont="0" applyFill="0" applyBorder="0"/>
    <xf numFmtId="284" fontId="15" fillId="0" borderId="14">
      <alignment horizontal="right" vertical="center"/>
    </xf>
    <xf numFmtId="284" fontId="15"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18" fontId="41" fillId="0" borderId="14">
      <alignment horizontal="right" vertical="center"/>
    </xf>
    <xf numFmtId="218" fontId="41" fillId="0" borderId="14">
      <alignment horizontal="right" vertical="center"/>
    </xf>
    <xf numFmtId="202" fontId="22" fillId="0" borderId="14">
      <alignment horizontal="right" vertical="center"/>
    </xf>
    <xf numFmtId="202" fontId="22" fillId="0" borderId="14">
      <alignment horizontal="right" vertical="center"/>
    </xf>
    <xf numFmtId="278" fontId="41" fillId="0" borderId="47">
      <alignment horizontal="right" vertical="center"/>
    </xf>
    <xf numFmtId="278" fontId="41" fillId="0" borderId="47">
      <alignment horizontal="right" vertical="center"/>
    </xf>
    <xf numFmtId="279" fontId="22" fillId="0" borderId="14">
      <alignment horizontal="right" vertical="center"/>
    </xf>
    <xf numFmtId="279" fontId="22" fillId="0" borderId="14">
      <alignment horizontal="right" vertical="center"/>
    </xf>
    <xf numFmtId="280" fontId="36" fillId="0" borderId="14">
      <alignment horizontal="right" vertical="center"/>
    </xf>
    <xf numFmtId="280" fontId="36" fillId="0" borderId="14">
      <alignment horizontal="right" vertical="center"/>
    </xf>
    <xf numFmtId="279" fontId="22" fillId="0" borderId="14">
      <alignment horizontal="right" vertical="center"/>
    </xf>
    <xf numFmtId="279" fontId="22" fillId="0" borderId="14">
      <alignment horizontal="right" vertical="center"/>
    </xf>
    <xf numFmtId="277" fontId="41" fillId="0" borderId="14">
      <alignment horizontal="right" vertical="center"/>
    </xf>
    <xf numFmtId="277" fontId="41" fillId="0" borderId="14">
      <alignment horizontal="right" vertical="center"/>
    </xf>
    <xf numFmtId="202" fontId="22" fillId="0" borderId="14">
      <alignment horizontal="right" vertical="center"/>
    </xf>
    <xf numFmtId="202" fontId="22" fillId="0" borderId="14">
      <alignment horizontal="right" vertical="center"/>
    </xf>
    <xf numFmtId="202" fontId="22" fillId="0" borderId="14">
      <alignment horizontal="right" vertical="center"/>
    </xf>
    <xf numFmtId="202" fontId="22" fillId="0" borderId="14">
      <alignment horizontal="right" vertical="center"/>
    </xf>
    <xf numFmtId="285" fontId="21" fillId="0" borderId="14">
      <alignment horizontal="right" vertical="center"/>
    </xf>
    <xf numFmtId="285" fontId="21" fillId="0" borderId="14">
      <alignment horizontal="right" vertical="center"/>
    </xf>
    <xf numFmtId="278" fontId="41" fillId="0" borderId="47">
      <alignment horizontal="right" vertical="center"/>
    </xf>
    <xf numFmtId="278" fontId="41" fillId="0" borderId="47">
      <alignment horizontal="right" vertical="center"/>
    </xf>
    <xf numFmtId="286" fontId="22" fillId="0" borderId="14">
      <alignment horizontal="right" vertical="center"/>
    </xf>
    <xf numFmtId="286" fontId="22"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79" fontId="22" fillId="0" borderId="14">
      <alignment horizontal="right" vertical="center"/>
    </xf>
    <xf numFmtId="279" fontId="22" fillId="0" borderId="14">
      <alignment horizontal="right" vertical="center"/>
    </xf>
    <xf numFmtId="281" fontId="22" fillId="0" borderId="14">
      <alignment horizontal="right" vertical="center"/>
    </xf>
    <xf numFmtId="281" fontId="22" fillId="0" borderId="14">
      <alignment horizontal="right" vertical="center"/>
    </xf>
    <xf numFmtId="204" fontId="22" fillId="0" borderId="14">
      <alignment horizontal="right" vertical="center"/>
    </xf>
    <xf numFmtId="204" fontId="22"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83" fontId="183" fillId="2" borderId="48" applyFont="0" applyFill="0" applyBorder="0"/>
    <xf numFmtId="279" fontId="22" fillId="0" borderId="14">
      <alignment horizontal="right" vertical="center"/>
    </xf>
    <xf numFmtId="279" fontId="22"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9" fontId="22" fillId="0" borderId="14">
      <alignment horizontal="right" vertical="center"/>
    </xf>
    <xf numFmtId="279" fontId="22"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87" fontId="63" fillId="0" borderId="14">
      <alignment horizontal="right" vertical="center"/>
    </xf>
    <xf numFmtId="287" fontId="63" fillId="0" borderId="14">
      <alignment horizontal="right" vertical="center"/>
    </xf>
    <xf numFmtId="279" fontId="22" fillId="0" borderId="14">
      <alignment horizontal="right" vertical="center"/>
    </xf>
    <xf numFmtId="279" fontId="22" fillId="0" borderId="14">
      <alignment horizontal="right" vertical="center"/>
    </xf>
    <xf numFmtId="283" fontId="183" fillId="2" borderId="48" applyFont="0" applyFill="0" applyBorder="0"/>
    <xf numFmtId="283" fontId="183" fillId="2" borderId="48" applyFont="0" applyFill="0" applyBorder="0"/>
    <xf numFmtId="203" fontId="41" fillId="0" borderId="14">
      <alignment horizontal="right" vertical="center"/>
    </xf>
    <xf numFmtId="203" fontId="41" fillId="0" borderId="14">
      <alignment horizontal="right" vertical="center"/>
    </xf>
    <xf numFmtId="181" fontId="26" fillId="0" borderId="14">
      <alignment horizontal="right" vertical="center"/>
    </xf>
    <xf numFmtId="181" fontId="26" fillId="0" borderId="14">
      <alignment horizontal="right" vertical="center"/>
    </xf>
    <xf numFmtId="200" fontId="63" fillId="0" borderId="14">
      <alignment horizontal="right" vertical="center"/>
    </xf>
    <xf numFmtId="200" fontId="63" fillId="0" borderId="14">
      <alignment horizontal="right" vertical="center"/>
    </xf>
    <xf numFmtId="279" fontId="22" fillId="0" borderId="14">
      <alignment horizontal="right" vertical="center"/>
    </xf>
    <xf numFmtId="279" fontId="22"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00" fontId="63" fillId="0" borderId="14">
      <alignment horizontal="right" vertical="center"/>
    </xf>
    <xf numFmtId="277" fontId="41" fillId="0" borderId="14">
      <alignment horizontal="right" vertical="center"/>
    </xf>
    <xf numFmtId="277" fontId="41" fillId="0" borderId="14">
      <alignment horizontal="right" vertical="center"/>
    </xf>
    <xf numFmtId="283" fontId="183" fillId="2" borderId="48" applyFont="0" applyFill="0" applyBorder="0"/>
    <xf numFmtId="267" fontId="22" fillId="0" borderId="14">
      <alignment horizontal="right" vertical="center"/>
    </xf>
    <xf numFmtId="267" fontId="22" fillId="0" borderId="14">
      <alignment horizontal="right" vertical="center"/>
    </xf>
    <xf numFmtId="267" fontId="22" fillId="0" borderId="14">
      <alignment horizontal="right" vertical="center"/>
    </xf>
    <xf numFmtId="267" fontId="22" fillId="0" borderId="14">
      <alignment horizontal="right" vertical="center"/>
    </xf>
    <xf numFmtId="267" fontId="22" fillId="0" borderId="14">
      <alignment horizontal="right" vertical="center"/>
    </xf>
    <xf numFmtId="267" fontId="22" fillId="0" borderId="14">
      <alignment horizontal="right" vertical="center"/>
    </xf>
    <xf numFmtId="267" fontId="22" fillId="0" borderId="14">
      <alignment horizontal="right" vertical="center"/>
    </xf>
    <xf numFmtId="267" fontId="22" fillId="0" borderId="14">
      <alignment horizontal="right" vertical="center"/>
    </xf>
    <xf numFmtId="277" fontId="41" fillId="0" borderId="14">
      <alignment horizontal="right" vertical="center"/>
    </xf>
    <xf numFmtId="277" fontId="41" fillId="0" borderId="14">
      <alignment horizontal="right" vertical="center"/>
    </xf>
    <xf numFmtId="267" fontId="22" fillId="0" borderId="14">
      <alignment horizontal="right" vertical="center"/>
    </xf>
    <xf numFmtId="267" fontId="22" fillId="0" borderId="14">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288" fontId="22" fillId="0" borderId="47">
      <alignment horizontal="right" vertical="center"/>
    </xf>
    <xf numFmtId="180" fontId="182" fillId="0" borderId="14">
      <alignment horizontal="right" vertical="center"/>
    </xf>
    <xf numFmtId="180" fontId="182" fillId="0" borderId="14">
      <alignment horizontal="right" vertical="center"/>
    </xf>
    <xf numFmtId="277" fontId="41" fillId="0" borderId="14">
      <alignment horizontal="right" vertical="center"/>
    </xf>
    <xf numFmtId="277" fontId="41" fillId="0" borderId="14">
      <alignment horizontal="right" vertical="center"/>
    </xf>
    <xf numFmtId="204" fontId="22" fillId="0" borderId="14">
      <alignment horizontal="right" vertical="center"/>
    </xf>
    <xf numFmtId="204" fontId="22" fillId="0" borderId="14">
      <alignment horizontal="right" vertical="center"/>
    </xf>
    <xf numFmtId="181" fontId="26" fillId="0" borderId="14">
      <alignment horizontal="right" vertical="center"/>
    </xf>
    <xf numFmtId="181" fontId="26"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277" fontId="41" fillId="0" borderId="14">
      <alignment horizontal="right" vertical="center"/>
    </xf>
    <xf numFmtId="181" fontId="26" fillId="0" borderId="14">
      <alignment horizontal="right" vertical="center"/>
    </xf>
    <xf numFmtId="181" fontId="26" fillId="0" borderId="14">
      <alignment horizontal="right" vertical="center"/>
    </xf>
    <xf numFmtId="277" fontId="41" fillId="0" borderId="14">
      <alignment horizontal="right" vertical="center"/>
    </xf>
    <xf numFmtId="277" fontId="41" fillId="0" borderId="14">
      <alignment horizontal="right" vertical="center"/>
    </xf>
    <xf numFmtId="279" fontId="22" fillId="0" borderId="14">
      <alignment horizontal="right" vertical="center"/>
    </xf>
    <xf numFmtId="279" fontId="22" fillId="0" borderId="14">
      <alignment horizontal="right" vertical="center"/>
    </xf>
    <xf numFmtId="277" fontId="41" fillId="0" borderId="14">
      <alignment horizontal="right" vertical="center"/>
    </xf>
    <xf numFmtId="277" fontId="41" fillId="0" borderId="14">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8" fontId="41" fillId="0" borderId="47">
      <alignment horizontal="right" vertical="center"/>
    </xf>
    <xf numFmtId="277" fontId="41" fillId="0" borderId="14">
      <alignment horizontal="right" vertical="center"/>
    </xf>
    <xf numFmtId="277" fontId="41" fillId="0" borderId="14">
      <alignment horizontal="right" vertical="center"/>
    </xf>
    <xf numFmtId="203" fontId="41" fillId="0" borderId="14">
      <alignment horizontal="right" vertical="center"/>
    </xf>
    <xf numFmtId="203" fontId="41" fillId="0" borderId="14">
      <alignment horizontal="right" vertical="center"/>
    </xf>
    <xf numFmtId="289" fontId="184" fillId="0" borderId="14">
      <alignment horizontal="right" vertical="center"/>
    </xf>
    <xf numFmtId="289" fontId="184" fillId="0" borderId="14">
      <alignment horizontal="right" vertical="center"/>
    </xf>
    <xf numFmtId="49" fontId="25" fillId="0" borderId="0" applyFill="0" applyBorder="0" applyProtection="0">
      <alignment horizontal="center" vertical="center" wrapText="1" shrinkToFit="1"/>
    </xf>
    <xf numFmtId="49" fontId="38" fillId="0" borderId="0" applyFill="0" applyBorder="0" applyAlignment="0"/>
    <xf numFmtId="290" fontId="15" fillId="0" borderId="0" applyFill="0" applyBorder="0" applyAlignment="0"/>
    <xf numFmtId="291" fontId="15" fillId="0" borderId="0" applyFill="0" applyBorder="0" applyAlignment="0"/>
    <xf numFmtId="49" fontId="25" fillId="0" borderId="0" applyFill="0" applyBorder="0" applyProtection="0">
      <alignment horizontal="center" vertical="center" wrapText="1" shrinkToFit="1"/>
    </xf>
    <xf numFmtId="185" fontId="41" fillId="0" borderId="14">
      <alignment horizontal="center"/>
    </xf>
    <xf numFmtId="185" fontId="41" fillId="0" borderId="14">
      <alignment horizontal="center"/>
    </xf>
    <xf numFmtId="292" fontId="185" fillId="0" borderId="0" applyNumberFormat="0" applyFont="0" applyFill="0" applyBorder="0" applyAlignment="0">
      <alignment horizontal="centerContinuous"/>
    </xf>
    <xf numFmtId="264" fontId="186" fillId="0" borderId="0">
      <alignment horizontal="center"/>
      <protection locked="0"/>
    </xf>
    <xf numFmtId="0" fontId="22" fillId="0" borderId="49"/>
    <xf numFmtId="0" fontId="4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0" fillId="0" borderId="0" applyNumberFormat="0" applyFill="0" applyBorder="0" applyAlignment="0" applyProtection="0"/>
    <xf numFmtId="0" fontId="27" fillId="0" borderId="13" applyNumberFormat="0" applyBorder="0" applyAlignment="0"/>
    <xf numFmtId="0" fontId="187" fillId="0" borderId="17" applyNumberFormat="0" applyBorder="0" applyAlignment="0">
      <alignment horizontal="center"/>
    </xf>
    <xf numFmtId="3" fontId="188" fillId="0" borderId="18" applyNumberFormat="0" applyBorder="0" applyAlignment="0"/>
    <xf numFmtId="0" fontId="189" fillId="0" borderId="13">
      <alignment horizontal="center" vertical="center" wrapText="1"/>
    </xf>
    <xf numFmtId="0" fontId="190" fillId="0" borderId="0" applyNumberFormat="0" applyFill="0" applyBorder="0" applyAlignment="0" applyProtection="0"/>
    <xf numFmtId="40" fontId="116" fillId="0" borderId="0"/>
    <xf numFmtId="0" fontId="76" fillId="41" borderId="25" applyNumberFormat="0" applyAlignment="0" applyProtection="0"/>
    <xf numFmtId="0" fontId="76" fillId="41" borderId="25" applyNumberFormat="0" applyAlignment="0" applyProtection="0"/>
    <xf numFmtId="3" fontId="191" fillId="0" borderId="0" applyNumberFormat="0" applyFill="0" applyBorder="0" applyAlignment="0" applyProtection="0">
      <alignment horizontal="center" wrapText="1"/>
    </xf>
    <xf numFmtId="0" fontId="192" fillId="0" borderId="3" applyBorder="0" applyAlignment="0">
      <alignment horizontal="center" vertical="center"/>
    </xf>
    <xf numFmtId="0" fontId="192" fillId="0" borderId="3" applyBorder="0" applyAlignment="0">
      <alignment horizontal="center" vertical="center"/>
    </xf>
    <xf numFmtId="0" fontId="193" fillId="0" borderId="0" applyNumberFormat="0" applyFill="0" applyBorder="0" applyAlignment="0" applyProtection="0">
      <alignment horizontal="centerContinuous"/>
    </xf>
    <xf numFmtId="0" fontId="117" fillId="0" borderId="50" applyNumberFormat="0" applyFill="0" applyBorder="0" applyAlignment="0" applyProtection="0">
      <alignment horizontal="center" vertical="center" wrapText="1"/>
    </xf>
    <xf numFmtId="0" fontId="190" fillId="0" borderId="0" applyNumberFormat="0" applyFill="0" applyBorder="0" applyAlignment="0" applyProtection="0"/>
    <xf numFmtId="0" fontId="190" fillId="0" borderId="0" applyNumberFormat="0" applyFill="0" applyBorder="0" applyAlignment="0" applyProtection="0"/>
    <xf numFmtId="0" fontId="194" fillId="0" borderId="51" applyNumberFormat="0" applyFill="0" applyAlignment="0" applyProtection="0"/>
    <xf numFmtId="0" fontId="194" fillId="0" borderId="51" applyNumberFormat="0" applyFill="0" applyAlignment="0" applyProtection="0"/>
    <xf numFmtId="0" fontId="195" fillId="0" borderId="52" applyNumberFormat="0" applyBorder="0" applyAlignment="0">
      <alignment vertical="center"/>
    </xf>
    <xf numFmtId="0" fontId="195" fillId="0" borderId="52" applyNumberFormat="0" applyBorder="0" applyAlignment="0">
      <alignment vertical="center"/>
    </xf>
    <xf numFmtId="0" fontId="115" fillId="9" borderId="0" applyNumberFormat="0" applyBorder="0" applyAlignment="0" applyProtection="0"/>
    <xf numFmtId="0" fontId="15" fillId="0" borderId="24" applyNumberFormat="0" applyFont="0" applyFill="0" applyAlignment="0" applyProtection="0"/>
    <xf numFmtId="0" fontId="194" fillId="0" borderId="51" applyNumberFormat="0" applyFill="0" applyAlignment="0" applyProtection="0"/>
    <xf numFmtId="0" fontId="194" fillId="0" borderId="51" applyNumberFormat="0" applyFill="0" applyAlignment="0" applyProtection="0"/>
    <xf numFmtId="0" fontId="15" fillId="0" borderId="53" applyNumberFormat="0" applyFill="0" applyAlignment="0" applyProtection="0"/>
    <xf numFmtId="0" fontId="141" fillId="0" borderId="54" applyNumberFormat="0" applyAlignment="0">
      <alignment horizontal="center"/>
    </xf>
    <xf numFmtId="0" fontId="143" fillId="49" borderId="0" applyNumberFormat="0" applyBorder="0" applyAlignment="0" applyProtection="0"/>
    <xf numFmtId="0" fontId="196" fillId="0" borderId="55">
      <alignment horizontal="center"/>
    </xf>
    <xf numFmtId="3" fontId="197" fillId="0" borderId="0" applyFill="0">
      <alignment vertical="center"/>
    </xf>
    <xf numFmtId="164" fontId="15" fillId="0" borderId="0" applyFont="0" applyFill="0" applyBorder="0" applyAlignment="0" applyProtection="0"/>
    <xf numFmtId="192" fontId="15" fillId="0" borderId="0" applyFont="0" applyFill="0" applyBorder="0" applyAlignment="0" applyProtection="0"/>
    <xf numFmtId="170" fontId="198" fillId="0" borderId="56" applyNumberFormat="0" applyFont="0" applyAlignment="0">
      <alignment horizontal="centerContinuous"/>
    </xf>
    <xf numFmtId="255" fontId="129" fillId="0" borderId="0" applyFont="0" applyFill="0" applyBorder="0" applyAlignment="0" applyProtection="0"/>
    <xf numFmtId="293" fontId="22" fillId="0" borderId="0" applyFont="0" applyFill="0" applyBorder="0" applyAlignment="0" applyProtection="0"/>
    <xf numFmtId="294" fontId="22" fillId="0" borderId="0" applyFont="0" applyFill="0" applyBorder="0" applyAlignment="0" applyProtection="0"/>
    <xf numFmtId="0" fontId="199" fillId="0" borderId="0" applyNumberFormat="0" applyFill="0" applyBorder="0" applyAlignment="0" applyProtection="0"/>
    <xf numFmtId="0" fontId="104" fillId="0" borderId="0" applyNumberFormat="0" applyFill="0" applyBorder="0" applyAlignment="0" applyProtection="0"/>
    <xf numFmtId="0" fontId="122" fillId="0" borderId="57">
      <alignment horizontal="center"/>
    </xf>
    <xf numFmtId="291" fontId="41" fillId="0" borderId="0"/>
    <xf numFmtId="203" fontId="41" fillId="0" borderId="1"/>
    <xf numFmtId="203" fontId="41" fillId="0" borderId="1"/>
    <xf numFmtId="0" fontId="200" fillId="0" borderId="0"/>
    <xf numFmtId="0" fontId="39" fillId="0" borderId="0"/>
    <xf numFmtId="0" fontId="39" fillId="0" borderId="0"/>
    <xf numFmtId="0" fontId="201" fillId="0" borderId="0"/>
    <xf numFmtId="3" fontId="41" fillId="0" borderId="0" applyNumberFormat="0" applyBorder="0" applyAlignment="0" applyProtection="0">
      <alignment horizontal="centerContinuous"/>
      <protection locked="0"/>
    </xf>
    <xf numFmtId="3" fontId="202" fillId="0" borderId="0">
      <protection locked="0"/>
    </xf>
    <xf numFmtId="0" fontId="39" fillId="0" borderId="0"/>
    <xf numFmtId="0" fontId="39" fillId="0" borderId="0"/>
    <xf numFmtId="0" fontId="203" fillId="0" borderId="58" applyFill="0" applyBorder="0" applyAlignment="0">
      <alignment horizontal="center"/>
    </xf>
    <xf numFmtId="218" fontId="204" fillId="67" borderId="3">
      <alignment vertical="top"/>
    </xf>
    <xf numFmtId="218" fontId="204" fillId="67" borderId="3">
      <alignment vertical="top"/>
    </xf>
    <xf numFmtId="0" fontId="205" fillId="68" borderId="1">
      <alignment horizontal="left" vertical="center"/>
    </xf>
    <xf numFmtId="0" fontId="205" fillId="68" borderId="1">
      <alignment horizontal="left" vertical="center"/>
    </xf>
    <xf numFmtId="200" fontId="206" fillId="51" borderId="3"/>
    <xf numFmtId="200" fontId="206" fillId="51" borderId="3"/>
    <xf numFmtId="218" fontId="126" fillId="0" borderId="3">
      <alignment horizontal="left" vertical="top"/>
    </xf>
    <xf numFmtId="218" fontId="126" fillId="0" borderId="3">
      <alignment horizontal="left" vertical="top"/>
    </xf>
    <xf numFmtId="0" fontId="207" fillId="69" borderId="0">
      <alignment horizontal="left" vertical="center"/>
    </xf>
    <xf numFmtId="218" fontId="26" fillId="0" borderId="4">
      <alignment horizontal="left" vertical="top"/>
    </xf>
    <xf numFmtId="0" fontId="208" fillId="0" borderId="4">
      <alignment horizontal="left" vertical="center"/>
    </xf>
    <xf numFmtId="0" fontId="15" fillId="0" borderId="0" applyFont="0" applyFill="0" applyBorder="0" applyAlignment="0" applyProtection="0"/>
    <xf numFmtId="0" fontId="15" fillId="0" borderId="0" applyFont="0" applyFill="0" applyBorder="0" applyAlignment="0" applyProtection="0"/>
    <xf numFmtId="295" fontId="15" fillId="0" borderId="0" applyFont="0" applyFill="0" applyBorder="0" applyAlignment="0" applyProtection="0"/>
    <xf numFmtId="296" fontId="15" fillId="0" borderId="0" applyFont="0" applyFill="0" applyBorder="0" applyAlignment="0" applyProtection="0"/>
    <xf numFmtId="42" fontId="99" fillId="0" borderId="0" applyFont="0" applyFill="0" applyBorder="0" applyAlignment="0" applyProtection="0"/>
    <xf numFmtId="44" fontId="99" fillId="0" borderId="0" applyFont="0" applyFill="0" applyBorder="0" applyAlignment="0" applyProtection="0"/>
    <xf numFmtId="0" fontId="209" fillId="0" borderId="0" applyNumberFormat="0" applyFill="0" applyBorder="0" applyAlignment="0" applyProtection="0"/>
    <xf numFmtId="0" fontId="19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0" fontId="69" fillId="7" borderId="0" applyNumberFormat="0" applyBorder="0" applyAlignment="0" applyProtection="0"/>
    <xf numFmtId="0" fontId="211" fillId="0" borderId="0" applyNumberFormat="0" applyFill="0" applyBorder="0" applyAlignment="0" applyProtection="0"/>
    <xf numFmtId="0" fontId="63" fillId="0" borderId="59" applyFont="0" applyBorder="0" applyAlignment="0">
      <alignment horizontal="center"/>
    </xf>
    <xf numFmtId="164" fontId="22"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0" fontId="31" fillId="0" borderId="0"/>
    <xf numFmtId="0" fontId="212" fillId="0" borderId="0" applyFont="0" applyFill="0" applyBorder="0" applyAlignment="0" applyProtection="0"/>
    <xf numFmtId="0" fontId="212" fillId="0" borderId="0" applyFont="0" applyFill="0" applyBorder="0" applyAlignment="0" applyProtection="0"/>
    <xf numFmtId="0" fontId="86" fillId="0" borderId="0">
      <alignment vertical="center"/>
    </xf>
    <xf numFmtId="40" fontId="15" fillId="0" borderId="0" applyFill="0" applyBorder="0" applyAlignment="0" applyProtection="0"/>
    <xf numFmtId="38"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9" fontId="213" fillId="0" borderId="0" applyBorder="0" applyAlignment="0" applyProtection="0"/>
    <xf numFmtId="0" fontId="214" fillId="0" borderId="0"/>
    <xf numFmtId="0" fontId="215" fillId="0" borderId="21"/>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7" fillId="0" borderId="0" applyFont="0" applyFill="0" applyBorder="0" applyAlignment="0" applyProtection="0"/>
    <xf numFmtId="0" fontId="147" fillId="0" borderId="0" applyFont="0" applyFill="0" applyBorder="0" applyAlignment="0" applyProtection="0"/>
    <xf numFmtId="176" fontId="15" fillId="0" borderId="0" applyFont="0" applyFill="0" applyBorder="0" applyAlignment="0" applyProtection="0"/>
    <xf numFmtId="188" fontId="15" fillId="0" borderId="0" applyFont="0" applyFill="0" applyBorder="0" applyAlignment="0" applyProtection="0"/>
    <xf numFmtId="0" fontId="147" fillId="0" borderId="0"/>
    <xf numFmtId="0" fontId="216" fillId="0" borderId="0"/>
    <xf numFmtId="0" fontId="136" fillId="0" borderId="0"/>
    <xf numFmtId="164" fontId="151" fillId="0" borderId="0" applyFont="0" applyFill="0" applyBorder="0" applyAlignment="0" applyProtection="0"/>
    <xf numFmtId="165" fontId="151" fillId="0" borderId="0" applyFont="0" applyFill="0" applyBorder="0" applyAlignment="0" applyProtection="0"/>
    <xf numFmtId="297" fontId="39" fillId="0" borderId="0" applyFont="0" applyFill="0" applyBorder="0" applyAlignment="0" applyProtection="0"/>
    <xf numFmtId="275" fontId="39" fillId="0" borderId="0" applyFont="0" applyFill="0" applyBorder="0" applyAlignment="0" applyProtection="0"/>
    <xf numFmtId="0" fontId="15" fillId="0" borderId="0"/>
    <xf numFmtId="180" fontId="151" fillId="0" borderId="0" applyFont="0" applyFill="0" applyBorder="0" applyAlignment="0" applyProtection="0"/>
    <xf numFmtId="6" fontId="33" fillId="0" borderId="0" applyFont="0" applyFill="0" applyBorder="0" applyAlignment="0" applyProtection="0"/>
    <xf numFmtId="181" fontId="151" fillId="0" borderId="0" applyFont="0" applyFill="0" applyBorder="0" applyAlignment="0" applyProtection="0"/>
    <xf numFmtId="172" fontId="15" fillId="0" borderId="0" applyFont="0" applyFill="0" applyBorder="0" applyAlignment="0" applyProtection="0"/>
    <xf numFmtId="176" fontId="39"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14" fillId="0" borderId="0"/>
    <xf numFmtId="9" fontId="2" fillId="0" borderId="0" applyFont="0" applyFill="0" applyBorder="0" applyAlignment="0" applyProtection="0"/>
    <xf numFmtId="9" fontId="1" fillId="0" borderId="0" applyFont="0" applyFill="0" applyBorder="0" applyAlignment="0" applyProtection="0"/>
    <xf numFmtId="165" fontId="15" fillId="0" borderId="0" applyFont="0" applyFill="0" applyBorder="0" applyAlignment="0" applyProtection="0"/>
    <xf numFmtId="0" fontId="258" fillId="0" borderId="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5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27" fillId="0" borderId="0"/>
    <xf numFmtId="0" fontId="15" fillId="0" borderId="0"/>
    <xf numFmtId="169" fontId="15" fillId="0" borderId="0" applyFill="0" applyBorder="0" applyAlignment="0" applyProtection="0"/>
    <xf numFmtId="167" fontId="14" fillId="0" borderId="0" applyFont="0" applyFill="0" applyBorder="0" applyAlignment="0" applyProtection="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2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58" fillId="0" borderId="0"/>
    <xf numFmtId="167" fontId="15" fillId="0" borderId="0" applyFont="0" applyFill="0" applyBorder="0" applyAlignment="0" applyProtection="0"/>
    <xf numFmtId="0" fontId="259" fillId="0" borderId="0"/>
    <xf numFmtId="0" fontId="14" fillId="0" borderId="0"/>
    <xf numFmtId="6" fontId="58" fillId="0" borderId="0" applyFont="0" applyFill="0" applyBorder="0" applyAlignment="0" applyProtection="0"/>
    <xf numFmtId="167" fontId="14" fillId="0" borderId="0" applyFont="0" applyFill="0" applyBorder="0" applyAlignment="0" applyProtection="0"/>
    <xf numFmtId="167" fontId="15" fillId="0" borderId="0" applyFont="0" applyFill="0" applyBorder="0" applyAlignment="0" applyProtection="0"/>
    <xf numFmtId="0" fontId="260" fillId="0" borderId="0"/>
    <xf numFmtId="0" fontId="14" fillId="0" borderId="0"/>
    <xf numFmtId="167" fontId="14" fillId="0" borderId="0" applyFont="0" applyFill="0" applyBorder="0" applyAlignment="0" applyProtection="0"/>
    <xf numFmtId="0" fontId="84" fillId="0" borderId="0"/>
    <xf numFmtId="0" fontId="26" fillId="0" borderId="0"/>
    <xf numFmtId="167" fontId="15" fillId="0" borderId="0" applyFont="0" applyFill="0" applyBorder="0" applyAlignment="0" applyProtection="0"/>
    <xf numFmtId="0" fontId="58" fillId="0" borderId="0"/>
    <xf numFmtId="167" fontId="14" fillId="0" borderId="0" applyFont="0" applyFill="0" applyBorder="0" applyAlignment="0" applyProtection="0"/>
    <xf numFmtId="167" fontId="58" fillId="0" borderId="0" applyFont="0" applyFill="0" applyBorder="0" applyAlignment="0" applyProtection="0"/>
    <xf numFmtId="167" fontId="14" fillId="0" borderId="0" applyFont="0" applyFill="0" applyBorder="0" applyAlignment="0" applyProtection="0"/>
    <xf numFmtId="167" fontId="58"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5" fontId="15" fillId="0" borderId="0" applyFont="0" applyFill="0" applyBorder="0" applyAlignment="0" applyProtection="0"/>
    <xf numFmtId="0" fontId="14" fillId="0" borderId="0"/>
    <xf numFmtId="165" fontId="15" fillId="0" borderId="0" applyFont="0" applyFill="0" applyBorder="0" applyAlignment="0" applyProtection="0"/>
    <xf numFmtId="0" fontId="14" fillId="0" borderId="0"/>
    <xf numFmtId="0" fontId="14" fillId="0" borderId="0"/>
    <xf numFmtId="0" fontId="14" fillId="0" borderId="0"/>
    <xf numFmtId="165" fontId="15"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0" fontId="48" fillId="0" borderId="102" applyFont="0" applyAlignment="0">
      <alignment horizontal="left"/>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6" fillId="0" borderId="102" applyNumberFormat="0" applyAlignment="0">
      <alignment horizontal="center"/>
    </xf>
    <xf numFmtId="0" fontId="1" fillId="0" borderId="0"/>
    <xf numFmtId="0" fontId="1" fillId="0" borderId="0"/>
    <xf numFmtId="0" fontId="1" fillId="0" borderId="0"/>
    <xf numFmtId="170" fontId="162" fillId="0" borderId="102" applyFont="0" applyBorder="0" applyAlignment="0"/>
    <xf numFmtId="9" fontId="1" fillId="0" borderId="0" applyFont="0" applyFill="0" applyBorder="0" applyAlignment="0" applyProtection="0"/>
    <xf numFmtId="9" fontId="1" fillId="0" borderId="0" applyFont="0" applyFill="0" applyBorder="0" applyAlignment="0" applyProtection="0"/>
    <xf numFmtId="0" fontId="27" fillId="0" borderId="102" applyNumberFormat="0" applyBorder="0" applyAlignment="0"/>
    <xf numFmtId="0" fontId="189" fillId="0" borderId="102">
      <alignment horizontal="center" vertical="center" wrapText="1"/>
    </xf>
  </cellStyleXfs>
  <cellXfs count="674">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applyAlignment="1">
      <alignment horizontal="center"/>
    </xf>
    <xf numFmtId="0" fontId="6" fillId="0" borderId="1" xfId="0" applyFont="1" applyBorder="1"/>
    <xf numFmtId="168" fontId="6" fillId="0" borderId="1" xfId="0" applyNumberFormat="1" applyFont="1" applyBorder="1"/>
    <xf numFmtId="2" fontId="6" fillId="0" borderId="1" xfId="0" applyNumberFormat="1" applyFont="1" applyBorder="1"/>
    <xf numFmtId="2" fontId="6" fillId="0" borderId="0" xfId="0" applyNumberFormat="1" applyFont="1"/>
    <xf numFmtId="0" fontId="5" fillId="0" borderId="1" xfId="0" applyFont="1" applyBorder="1" applyAlignment="1">
      <alignment horizontal="center" wrapText="1"/>
    </xf>
    <xf numFmtId="4" fontId="6" fillId="0" borderId="1" xfId="0" applyNumberFormat="1" applyFont="1" applyBorder="1" applyAlignment="1">
      <alignment vertical="center"/>
    </xf>
    <xf numFmtId="0" fontId="17" fillId="0" borderId="0" xfId="0" applyFont="1" applyAlignment="1">
      <alignment horizontal="center" vertical="center"/>
    </xf>
    <xf numFmtId="0" fontId="19" fillId="0" borderId="0" xfId="0" applyFont="1"/>
    <xf numFmtId="173" fontId="19" fillId="0" borderId="0" xfId="0" applyNumberFormat="1" applyFont="1"/>
    <xf numFmtId="0" fontId="116" fillId="0" borderId="0" xfId="0" applyFont="1"/>
    <xf numFmtId="0" fontId="16" fillId="0" borderId="13" xfId="0" applyFont="1" applyBorder="1" applyAlignment="1">
      <alignment horizontal="center" vertical="center" wrapText="1"/>
    </xf>
    <xf numFmtId="0" fontId="16" fillId="0" borderId="13" xfId="0" applyFont="1" applyBorder="1" applyAlignment="1">
      <alignment vertical="center" wrapText="1"/>
    </xf>
    <xf numFmtId="0" fontId="223" fillId="0" borderId="0" xfId="0" applyFont="1" applyAlignment="1">
      <alignment vertical="center"/>
    </xf>
    <xf numFmtId="0" fontId="223" fillId="0" borderId="1" xfId="0" applyFont="1" applyBorder="1" applyAlignment="1">
      <alignment horizontal="center" vertical="center" wrapText="1"/>
    </xf>
    <xf numFmtId="0" fontId="223" fillId="0" borderId="0" xfId="0" applyFont="1" applyAlignment="1">
      <alignment horizontal="center" vertical="center" wrapText="1"/>
    </xf>
    <xf numFmtId="0" fontId="224" fillId="0" borderId="17" xfId="0" quotePrefix="1" applyFont="1" applyBorder="1" applyAlignment="1">
      <alignment horizontal="center" vertical="center"/>
    </xf>
    <xf numFmtId="0" fontId="224" fillId="0" borderId="17" xfId="0" applyFont="1" applyBorder="1" applyAlignment="1">
      <alignment vertical="center" wrapText="1"/>
    </xf>
    <xf numFmtId="0" fontId="224" fillId="0" borderId="17" xfId="0" applyFont="1" applyBorder="1" applyAlignment="1">
      <alignment vertical="center"/>
    </xf>
    <xf numFmtId="0" fontId="224" fillId="0" borderId="13" xfId="0" applyFont="1" applyBorder="1" applyAlignment="1">
      <alignment horizontal="center" vertical="center"/>
    </xf>
    <xf numFmtId="0" fontId="224" fillId="0" borderId="0" xfId="0" applyFont="1" applyAlignment="1">
      <alignment vertical="center"/>
    </xf>
    <xf numFmtId="0" fontId="224" fillId="0" borderId="13" xfId="0" applyFont="1" applyBorder="1" applyAlignment="1">
      <alignment vertical="center" wrapText="1"/>
    </xf>
    <xf numFmtId="0" fontId="224" fillId="0" borderId="13" xfId="0" applyFont="1" applyBorder="1" applyAlignment="1">
      <alignment vertical="center"/>
    </xf>
    <xf numFmtId="0" fontId="224" fillId="0" borderId="19" xfId="0" applyFont="1" applyBorder="1" applyAlignment="1">
      <alignment vertical="center"/>
    </xf>
    <xf numFmtId="0" fontId="224" fillId="0" borderId="60" xfId="0" applyFont="1" applyBorder="1" applyAlignment="1">
      <alignment horizontal="center" vertical="center"/>
    </xf>
    <xf numFmtId="0" fontId="224" fillId="0" borderId="60" xfId="0" applyFont="1" applyBorder="1" applyAlignment="1">
      <alignment vertical="center" wrapText="1"/>
    </xf>
    <xf numFmtId="0" fontId="227" fillId="0" borderId="0" xfId="0" applyFont="1" applyAlignment="1">
      <alignment vertical="center"/>
    </xf>
    <xf numFmtId="170" fontId="86" fillId="0" borderId="0" xfId="1" applyNumberFormat="1" applyFont="1" applyFill="1"/>
    <xf numFmtId="170" fontId="229" fillId="0" borderId="17" xfId="1" applyNumberFormat="1" applyFont="1" applyFill="1" applyBorder="1" applyAlignment="1">
      <alignment horizontal="center" vertical="center" wrapText="1"/>
    </xf>
    <xf numFmtId="0" fontId="17" fillId="0" borderId="1" xfId="0" applyFont="1" applyBorder="1" applyAlignment="1">
      <alignment horizontal="center" vertical="center" wrapText="1"/>
    </xf>
    <xf numFmtId="3" fontId="17" fillId="0" borderId="17" xfId="0" applyNumberFormat="1" applyFont="1" applyBorder="1" applyAlignment="1">
      <alignment horizontal="right" vertical="center" wrapText="1"/>
    </xf>
    <xf numFmtId="173" fontId="17" fillId="0" borderId="61" xfId="5" applyNumberFormat="1" applyFont="1" applyFill="1" applyBorder="1" applyAlignment="1">
      <alignment horizontal="right" vertical="center" wrapText="1"/>
    </xf>
    <xf numFmtId="0" fontId="17" fillId="0" borderId="17" xfId="0" applyFont="1" applyBorder="1" applyAlignment="1">
      <alignment horizontal="center" vertical="center" wrapText="1"/>
    </xf>
    <xf numFmtId="0" fontId="17" fillId="0" borderId="17" xfId="0" applyFont="1" applyBorder="1" applyAlignment="1">
      <alignment vertical="center" wrapText="1"/>
    </xf>
    <xf numFmtId="172" fontId="17" fillId="0" borderId="17" xfId="1" applyNumberFormat="1" applyFont="1" applyFill="1" applyBorder="1" applyAlignment="1">
      <alignment horizontal="center" vertical="center" wrapText="1"/>
    </xf>
    <xf numFmtId="172" fontId="241" fillId="0" borderId="17" xfId="1" applyNumberFormat="1" applyFont="1" applyFill="1" applyBorder="1" applyAlignment="1">
      <alignment vertical="center" wrapText="1"/>
    </xf>
    <xf numFmtId="0" fontId="8" fillId="0" borderId="17" xfId="0" applyFont="1" applyBorder="1" applyAlignment="1">
      <alignment horizontal="center" vertical="center" wrapText="1"/>
    </xf>
    <xf numFmtId="9" fontId="230" fillId="0" borderId="17" xfId="2266" applyFont="1" applyFill="1" applyBorder="1" applyAlignment="1">
      <alignment horizontal="right" vertical="center" wrapText="1"/>
    </xf>
    <xf numFmtId="0" fontId="11" fillId="0" borderId="0" xfId="0" applyFont="1" applyAlignment="1">
      <alignment vertical="center"/>
    </xf>
    <xf numFmtId="0" fontId="11" fillId="0" borderId="0" xfId="0" applyFont="1"/>
    <xf numFmtId="0" fontId="9" fillId="0" borderId="0" xfId="0" applyFont="1" applyAlignment="1">
      <alignment vertical="center"/>
    </xf>
    <xf numFmtId="0" fontId="236" fillId="0" borderId="0" xfId="0" applyFont="1"/>
    <xf numFmtId="3" fontId="11" fillId="0" borderId="0" xfId="0" applyNumberFormat="1" applyFont="1"/>
    <xf numFmtId="0" fontId="220" fillId="0" borderId="0" xfId="0" applyFont="1" applyAlignment="1">
      <alignment horizontal="center" vertical="center"/>
    </xf>
    <xf numFmtId="0" fontId="16" fillId="0" borderId="1" xfId="0" applyFont="1" applyBorder="1" applyAlignment="1">
      <alignment horizontal="center" vertical="center" wrapText="1"/>
    </xf>
    <xf numFmtId="0" fontId="218"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8" xfId="0" applyFont="1" applyBorder="1" applyAlignment="1">
      <alignment horizontal="center" vertical="center" wrapText="1"/>
    </xf>
    <xf numFmtId="3" fontId="17" fillId="0" borderId="61" xfId="0" applyNumberFormat="1" applyFont="1" applyBorder="1" applyAlignment="1">
      <alignment horizontal="right" vertical="center" wrapText="1"/>
    </xf>
    <xf numFmtId="3" fontId="8" fillId="0" borderId="61" xfId="0" applyNumberFormat="1" applyFont="1" applyBorder="1" applyAlignment="1">
      <alignment horizontal="right" vertical="center" wrapText="1"/>
    </xf>
    <xf numFmtId="9" fontId="8" fillId="0" borderId="61" xfId="2269" applyFont="1" applyFill="1" applyBorder="1" applyAlignment="1">
      <alignment horizontal="right" vertical="center" wrapText="1"/>
    </xf>
    <xf numFmtId="0" fontId="8" fillId="0" borderId="67" xfId="0" applyFont="1" applyBorder="1" applyAlignment="1">
      <alignment horizontal="center" vertical="center" wrapText="1"/>
    </xf>
    <xf numFmtId="0" fontId="8" fillId="0" borderId="67" xfId="0" applyFont="1" applyBorder="1" applyAlignment="1">
      <alignment vertical="center" wrapText="1"/>
    </xf>
    <xf numFmtId="0" fontId="9" fillId="0" borderId="67" xfId="0" applyFont="1" applyBorder="1" applyAlignment="1">
      <alignment horizontal="center" vertical="center" wrapText="1"/>
    </xf>
    <xf numFmtId="0" fontId="9" fillId="0" borderId="60" xfId="0" applyFont="1" applyBorder="1" applyAlignment="1">
      <alignment vertical="center" wrapText="1"/>
    </xf>
    <xf numFmtId="3" fontId="16" fillId="0" borderId="67" xfId="5" applyNumberFormat="1" applyFont="1" applyFill="1" applyBorder="1" applyAlignment="1">
      <alignment vertical="center" wrapText="1"/>
    </xf>
    <xf numFmtId="3" fontId="16" fillId="0" borderId="67" xfId="0" applyNumberFormat="1" applyFont="1" applyBorder="1" applyAlignment="1">
      <alignment vertical="center" wrapText="1"/>
    </xf>
    <xf numFmtId="3" fontId="16" fillId="0" borderId="61" xfId="0" applyNumberFormat="1" applyFont="1" applyBorder="1" applyAlignment="1">
      <alignment vertical="center" wrapText="1"/>
    </xf>
    <xf numFmtId="3" fontId="9" fillId="0" borderId="67" xfId="5" applyNumberFormat="1" applyFont="1" applyFill="1" applyBorder="1" applyAlignment="1">
      <alignment horizontal="right" vertical="center" wrapText="1"/>
    </xf>
    <xf numFmtId="3" fontId="9" fillId="0" borderId="67" xfId="0" applyNumberFormat="1" applyFont="1" applyBorder="1" applyAlignment="1">
      <alignment horizontal="right" vertical="center" wrapText="1"/>
    </xf>
    <xf numFmtId="3" fontId="218" fillId="0" borderId="67" xfId="0" applyNumberFormat="1" applyFont="1" applyBorder="1" applyAlignment="1">
      <alignment horizontal="right" vertical="center" wrapText="1"/>
    </xf>
    <xf numFmtId="3" fontId="9" fillId="0" borderId="67" xfId="0" applyNumberFormat="1" applyFont="1" applyBorder="1" applyAlignment="1">
      <alignment vertical="center" wrapText="1"/>
    </xf>
    <xf numFmtId="9" fontId="9" fillId="0" borderId="61" xfId="2269" applyFont="1" applyFill="1" applyBorder="1" applyAlignment="1">
      <alignment horizontal="right" vertical="center" wrapText="1"/>
    </xf>
    <xf numFmtId="0" fontId="9" fillId="0" borderId="67" xfId="0" applyFont="1" applyBorder="1" applyAlignment="1">
      <alignment vertical="center" wrapText="1"/>
    </xf>
    <xf numFmtId="3" fontId="9" fillId="0" borderId="61" xfId="0" applyNumberFormat="1" applyFont="1" applyBorder="1" applyAlignment="1">
      <alignment vertical="center" wrapText="1"/>
    </xf>
    <xf numFmtId="9" fontId="9" fillId="0" borderId="62" xfId="2269" applyFont="1" applyFill="1" applyBorder="1" applyAlignment="1">
      <alignment horizontal="right" vertical="center" wrapText="1"/>
    </xf>
    <xf numFmtId="3" fontId="16" fillId="0" borderId="60" xfId="0" applyNumberFormat="1" applyFont="1" applyBorder="1" applyAlignment="1">
      <alignment vertical="center" wrapText="1"/>
    </xf>
    <xf numFmtId="3" fontId="9" fillId="0" borderId="60" xfId="0" applyNumberFormat="1" applyFont="1" applyBorder="1" applyAlignment="1">
      <alignment vertical="center" wrapText="1"/>
    </xf>
    <xf numFmtId="9" fontId="8" fillId="0" borderId="63" xfId="2269" applyFont="1" applyFill="1" applyBorder="1" applyAlignment="1">
      <alignment horizontal="right" vertical="center" wrapText="1"/>
    </xf>
    <xf numFmtId="0" fontId="8" fillId="0" borderId="60" xfId="0" applyFont="1" applyBorder="1" applyAlignment="1">
      <alignment vertical="center" wrapText="1"/>
    </xf>
    <xf numFmtId="0" fontId="219" fillId="0" borderId="0" xfId="0" applyFont="1"/>
    <xf numFmtId="0" fontId="9" fillId="0" borderId="68" xfId="0" applyFont="1" applyBorder="1" applyAlignment="1">
      <alignment horizontal="center" vertical="center" wrapText="1"/>
    </xf>
    <xf numFmtId="0" fontId="9" fillId="0" borderId="5" xfId="0" applyFont="1" applyBorder="1" applyAlignment="1">
      <alignment vertical="center" wrapText="1"/>
    </xf>
    <xf numFmtId="3" fontId="16" fillId="0" borderId="68" xfId="5" applyNumberFormat="1" applyFont="1" applyFill="1" applyBorder="1" applyAlignment="1">
      <alignment vertical="center" wrapText="1"/>
    </xf>
    <xf numFmtId="3" fontId="16" fillId="0" borderId="68" xfId="0" applyNumberFormat="1" applyFont="1" applyBorder="1" applyAlignment="1">
      <alignment vertical="center" wrapText="1"/>
    </xf>
    <xf numFmtId="3" fontId="9" fillId="0" borderId="68" xfId="5" applyNumberFormat="1" applyFont="1" applyFill="1" applyBorder="1" applyAlignment="1">
      <alignment vertical="center" wrapText="1"/>
    </xf>
    <xf numFmtId="3" fontId="9" fillId="0" borderId="68" xfId="0" applyNumberFormat="1" applyFont="1" applyBorder="1" applyAlignment="1">
      <alignment vertical="center" wrapText="1"/>
    </xf>
    <xf numFmtId="9" fontId="9" fillId="0" borderId="64" xfId="2269" applyFont="1" applyFill="1" applyBorder="1" applyAlignment="1">
      <alignment horizontal="right" vertical="center" wrapText="1"/>
    </xf>
    <xf numFmtId="9" fontId="9" fillId="0" borderId="65" xfId="2269" applyFont="1" applyFill="1" applyBorder="1" applyAlignment="1">
      <alignment horizontal="right" vertical="center" wrapText="1"/>
    </xf>
    <xf numFmtId="172" fontId="241" fillId="0" borderId="67" xfId="1" applyNumberFormat="1" applyFont="1" applyFill="1" applyBorder="1" applyAlignment="1">
      <alignment vertical="center" wrapText="1"/>
    </xf>
    <xf numFmtId="172" fontId="234" fillId="0" borderId="67" xfId="1" applyNumberFormat="1" applyFont="1" applyFill="1" applyBorder="1" applyAlignment="1">
      <alignment vertical="center" wrapText="1"/>
    </xf>
    <xf numFmtId="170" fontId="241" fillId="0" borderId="67" xfId="1" applyNumberFormat="1" applyFont="1" applyFill="1" applyBorder="1" applyAlignment="1">
      <alignment horizontal="right" vertical="center" wrapText="1"/>
    </xf>
    <xf numFmtId="172" fontId="16" fillId="0" borderId="67" xfId="1" applyNumberFormat="1" applyFont="1" applyFill="1" applyBorder="1" applyAlignment="1">
      <alignment vertical="center" wrapText="1"/>
    </xf>
    <xf numFmtId="172" fontId="17" fillId="0" borderId="67" xfId="1" applyNumberFormat="1" applyFont="1" applyFill="1" applyBorder="1" applyAlignment="1">
      <alignment vertical="center" wrapText="1"/>
    </xf>
    <xf numFmtId="172" fontId="241" fillId="0" borderId="68" xfId="1" applyNumberFormat="1" applyFont="1" applyFill="1" applyBorder="1" applyAlignment="1">
      <alignment vertical="center" wrapText="1"/>
    </xf>
    <xf numFmtId="3" fontId="16" fillId="0" borderId="69" xfId="0" applyNumberFormat="1" applyFont="1" applyBorder="1" applyAlignment="1">
      <alignment horizontal="right" vertical="center" wrapText="1"/>
    </xf>
    <xf numFmtId="3" fontId="17" fillId="0" borderId="69" xfId="0" applyNumberFormat="1" applyFont="1" applyBorder="1" applyAlignment="1">
      <alignment horizontal="right" vertical="center" wrapText="1"/>
    </xf>
    <xf numFmtId="3" fontId="241" fillId="0" borderId="67" xfId="1" applyNumberFormat="1" applyFont="1" applyFill="1" applyBorder="1" applyAlignment="1">
      <alignment horizontal="right" vertical="center" wrapText="1"/>
    </xf>
    <xf numFmtId="3" fontId="9" fillId="0" borderId="69" xfId="0" applyNumberFormat="1" applyFont="1" applyBorder="1" applyAlignment="1">
      <alignment horizontal="right" vertical="center" wrapText="1"/>
    </xf>
    <xf numFmtId="0" fontId="249" fillId="0" borderId="0" xfId="0" applyFont="1"/>
    <xf numFmtId="0" fontId="248" fillId="0" borderId="0" xfId="0" applyFont="1"/>
    <xf numFmtId="0" fontId="17" fillId="0" borderId="69" xfId="0" applyFont="1" applyBorder="1" applyAlignment="1">
      <alignment horizontal="center" vertical="center" wrapText="1"/>
    </xf>
    <xf numFmtId="0" fontId="17" fillId="0" borderId="69" xfId="0" applyFont="1" applyBorder="1" applyAlignment="1">
      <alignment vertical="center" wrapText="1"/>
    </xf>
    <xf numFmtId="3" fontId="17" fillId="0" borderId="69" xfId="0" applyNumberFormat="1" applyFont="1" applyBorder="1" applyAlignment="1">
      <alignment vertical="center" wrapText="1"/>
    </xf>
    <xf numFmtId="172" fontId="17" fillId="0" borderId="69" xfId="1" applyNumberFormat="1" applyFont="1" applyFill="1" applyBorder="1" applyAlignment="1">
      <alignment horizontal="center" vertical="center" wrapText="1"/>
    </xf>
    <xf numFmtId="0" fontId="16" fillId="0" borderId="69" xfId="0" applyFont="1" applyBorder="1" applyAlignment="1">
      <alignment horizontal="center" vertical="center" wrapText="1"/>
    </xf>
    <xf numFmtId="0" fontId="16" fillId="0" borderId="69" xfId="0" applyFont="1" applyBorder="1" applyAlignment="1">
      <alignment vertical="center" wrapText="1"/>
    </xf>
    <xf numFmtId="3" fontId="16" fillId="0" borderId="69" xfId="0" applyNumberFormat="1" applyFont="1" applyBorder="1" applyAlignment="1">
      <alignment vertical="center" wrapText="1"/>
    </xf>
    <xf numFmtId="172" fontId="16" fillId="0" borderId="69" xfId="1" applyNumberFormat="1" applyFont="1" applyFill="1" applyBorder="1" applyAlignment="1">
      <alignment horizontal="center" vertical="center" wrapText="1"/>
    </xf>
    <xf numFmtId="3" fontId="17" fillId="71" borderId="69" xfId="0" applyNumberFormat="1" applyFont="1" applyFill="1" applyBorder="1" applyAlignment="1">
      <alignment vertical="center" wrapText="1"/>
    </xf>
    <xf numFmtId="3" fontId="17" fillId="71" borderId="69" xfId="0" applyNumberFormat="1" applyFont="1" applyFill="1" applyBorder="1" applyAlignment="1">
      <alignment horizontal="right" vertical="center" wrapText="1"/>
    </xf>
    <xf numFmtId="0" fontId="17" fillId="0" borderId="70" xfId="0" applyFont="1" applyBorder="1" applyAlignment="1">
      <alignment horizontal="center" vertical="center" wrapText="1"/>
    </xf>
    <xf numFmtId="0" fontId="17" fillId="0" borderId="70" xfId="0" applyFont="1" applyBorder="1" applyAlignment="1">
      <alignment vertical="center" wrapText="1"/>
    </xf>
    <xf numFmtId="3" fontId="19" fillId="0" borderId="0" xfId="0" applyNumberFormat="1" applyFont="1"/>
    <xf numFmtId="0" fontId="245" fillId="0" borderId="0" xfId="0" applyFont="1" applyAlignment="1">
      <alignment horizontal="left" vertical="center"/>
    </xf>
    <xf numFmtId="170" fontId="86" fillId="0" borderId="0" xfId="0" applyNumberFormat="1" applyFont="1"/>
    <xf numFmtId="0" fontId="86" fillId="0" borderId="0" xfId="0" applyFont="1"/>
    <xf numFmtId="0" fontId="229" fillId="0" borderId="0" xfId="0" applyFont="1" applyAlignment="1">
      <alignment horizontal="left" vertical="center"/>
    </xf>
    <xf numFmtId="0" fontId="86" fillId="0" borderId="0" xfId="0" applyFont="1" applyAlignment="1">
      <alignment horizontal="center" vertical="center"/>
    </xf>
    <xf numFmtId="0" fontId="246" fillId="0" borderId="0" xfId="0" applyFont="1" applyAlignment="1">
      <alignment horizontal="center" vertical="center" wrapText="1"/>
    </xf>
    <xf numFmtId="170" fontId="246" fillId="0" borderId="0" xfId="0" applyNumberFormat="1" applyFont="1" applyAlignment="1">
      <alignment horizontal="center" vertical="center" wrapText="1"/>
    </xf>
    <xf numFmtId="170" fontId="250" fillId="0" borderId="0" xfId="0" applyNumberFormat="1" applyFont="1" applyAlignment="1">
      <alignment horizontal="center" vertical="center" wrapText="1"/>
    </xf>
    <xf numFmtId="300" fontId="229" fillId="0" borderId="0" xfId="0" applyNumberFormat="1" applyFont="1"/>
    <xf numFmtId="0" fontId="116" fillId="0" borderId="15" xfId="0" applyFont="1" applyBorder="1" applyAlignment="1">
      <alignment horizontal="center" vertical="center" wrapText="1"/>
    </xf>
    <xf numFmtId="0" fontId="116" fillId="0" borderId="1" xfId="0" applyFont="1" applyBorder="1" applyAlignment="1">
      <alignment horizontal="center" vertical="center" wrapText="1"/>
    </xf>
    <xf numFmtId="0" fontId="237" fillId="0" borderId="1" xfId="0" applyFont="1" applyBorder="1" applyAlignment="1">
      <alignment horizontal="center" vertical="center" wrapText="1"/>
    </xf>
    <xf numFmtId="0" fontId="17" fillId="0" borderId="0" xfId="0" applyFont="1"/>
    <xf numFmtId="0" fontId="231" fillId="0" borderId="1" xfId="0" applyFont="1" applyBorder="1" applyAlignment="1">
      <alignment horizontal="center" vertical="center" wrapText="1"/>
    </xf>
    <xf numFmtId="0" fontId="231" fillId="0" borderId="0" xfId="0" applyFont="1"/>
    <xf numFmtId="0" fontId="229" fillId="0" borderId="0" xfId="0" applyFont="1" applyAlignment="1">
      <alignment vertical="center"/>
    </xf>
    <xf numFmtId="170" fontId="229" fillId="0" borderId="0" xfId="0" applyNumberFormat="1" applyFont="1" applyAlignment="1">
      <alignment vertical="center"/>
    </xf>
    <xf numFmtId="0" fontId="86" fillId="0" borderId="0" xfId="0" applyFont="1" applyAlignment="1">
      <alignment vertical="center"/>
    </xf>
    <xf numFmtId="170" fontId="86" fillId="0" borderId="0" xfId="0" applyNumberFormat="1" applyFont="1" applyAlignment="1">
      <alignment vertical="center"/>
    </xf>
    <xf numFmtId="170" fontId="231" fillId="0" borderId="0" xfId="0" applyNumberFormat="1" applyFont="1"/>
    <xf numFmtId="3" fontId="16" fillId="0" borderId="69" xfId="1" applyNumberFormat="1" applyFont="1" applyFill="1" applyBorder="1" applyAlignment="1">
      <alignment horizontal="right" vertical="center" wrapText="1"/>
    </xf>
    <xf numFmtId="3" fontId="16" fillId="0" borderId="70" xfId="0" applyNumberFormat="1" applyFont="1" applyBorder="1" applyAlignment="1">
      <alignment horizontal="right" vertical="center" wrapText="1"/>
    </xf>
    <xf numFmtId="0" fontId="8" fillId="0" borderId="17" xfId="0" applyFont="1" applyBorder="1" applyAlignment="1">
      <alignment vertical="center" wrapText="1"/>
    </xf>
    <xf numFmtId="9" fontId="16" fillId="0" borderId="69" xfId="2266" applyFont="1" applyFill="1" applyBorder="1" applyAlignment="1">
      <alignment horizontal="right" vertical="center" wrapText="1"/>
    </xf>
    <xf numFmtId="174" fontId="16" fillId="0" borderId="69" xfId="5" applyNumberFormat="1" applyFont="1" applyFill="1" applyBorder="1" applyAlignment="1">
      <alignment horizontal="right" vertical="center" wrapText="1"/>
    </xf>
    <xf numFmtId="3" fontId="9" fillId="0" borderId="70" xfId="0" applyNumberFormat="1" applyFont="1" applyBorder="1" applyAlignment="1">
      <alignment horizontal="right" vertical="center" wrapText="1"/>
    </xf>
    <xf numFmtId="9" fontId="16" fillId="0" borderId="70" xfId="2266" applyFont="1" applyFill="1" applyBorder="1" applyAlignment="1">
      <alignment horizontal="right" vertical="center" wrapText="1"/>
    </xf>
    <xf numFmtId="0" fontId="228" fillId="0" borderId="0" xfId="0" applyFont="1"/>
    <xf numFmtId="0" fontId="13" fillId="0" borderId="1" xfId="0" applyFont="1" applyBorder="1" applyAlignment="1">
      <alignment horizontal="center" vertical="center" wrapText="1"/>
    </xf>
    <xf numFmtId="9" fontId="230" fillId="0" borderId="17" xfId="0" applyNumberFormat="1" applyFont="1" applyBorder="1" applyAlignment="1">
      <alignment horizontal="right" vertical="center" wrapText="1"/>
    </xf>
    <xf numFmtId="9" fontId="16" fillId="0" borderId="69" xfId="0" applyNumberFormat="1" applyFont="1" applyBorder="1" applyAlignment="1">
      <alignment horizontal="right" vertical="center" wrapText="1"/>
    </xf>
    <xf numFmtId="301" fontId="11" fillId="0" borderId="0" xfId="0" applyNumberFormat="1" applyFont="1"/>
    <xf numFmtId="9" fontId="16" fillId="0" borderId="70" xfId="0" applyNumberFormat="1" applyFont="1" applyBorder="1" applyAlignment="1">
      <alignment horizontal="right" vertical="center" wrapText="1"/>
    </xf>
    <xf numFmtId="0" fontId="17" fillId="0" borderId="0" xfId="0" applyFont="1" applyAlignment="1">
      <alignment horizontal="center"/>
    </xf>
    <xf numFmtId="0" fontId="226" fillId="0" borderId="0" xfId="1487" applyFont="1" applyAlignment="1">
      <alignment horizontal="center" vertical="center" wrapText="1"/>
    </xf>
    <xf numFmtId="0" fontId="5" fillId="0" borderId="0" xfId="0" applyFont="1"/>
    <xf numFmtId="0" fontId="6" fillId="0" borderId="72" xfId="0" applyFont="1" applyBorder="1"/>
    <xf numFmtId="0" fontId="6" fillId="0" borderId="73" xfId="0" applyFont="1" applyBorder="1"/>
    <xf numFmtId="0" fontId="6" fillId="0" borderId="0" xfId="0" quotePrefix="1" applyFont="1"/>
    <xf numFmtId="3" fontId="17" fillId="71" borderId="70" xfId="0" applyNumberFormat="1" applyFont="1" applyFill="1" applyBorder="1" applyAlignment="1">
      <alignment vertical="center" wrapText="1"/>
    </xf>
    <xf numFmtId="170" fontId="17" fillId="71" borderId="70" xfId="1" applyNumberFormat="1" applyFont="1" applyFill="1" applyBorder="1" applyAlignment="1">
      <alignment vertical="center" wrapText="1"/>
    </xf>
    <xf numFmtId="170" fontId="17" fillId="71" borderId="70" xfId="1" applyNumberFormat="1" applyFont="1" applyFill="1" applyBorder="1" applyAlignment="1">
      <alignment horizontal="right" vertical="center" wrapText="1"/>
    </xf>
    <xf numFmtId="172" fontId="17" fillId="71" borderId="70" xfId="1" applyNumberFormat="1" applyFont="1" applyFill="1" applyBorder="1" applyAlignment="1">
      <alignment horizontal="center" vertical="center" wrapText="1"/>
    </xf>
    <xf numFmtId="0" fontId="218" fillId="0" borderId="77" xfId="0" applyFont="1" applyBorder="1" applyAlignment="1">
      <alignment horizontal="center" vertical="center" wrapText="1"/>
    </xf>
    <xf numFmtId="0" fontId="233" fillId="0" borderId="77" xfId="0" applyFont="1" applyBorder="1" applyAlignment="1">
      <alignment vertical="center" wrapText="1"/>
    </xf>
    <xf numFmtId="0" fontId="218" fillId="0" borderId="77" xfId="0" applyFont="1" applyBorder="1" applyAlignment="1">
      <alignment vertical="center" wrapText="1"/>
    </xf>
    <xf numFmtId="0" fontId="218" fillId="0" borderId="77" xfId="0" quotePrefix="1" applyFont="1" applyBorder="1" applyAlignment="1">
      <alignment horizontal="center" vertical="center" wrapText="1"/>
    </xf>
    <xf numFmtId="0" fontId="217" fillId="0" borderId="77" xfId="0" applyFont="1" applyBorder="1" applyAlignment="1">
      <alignment horizontal="center" vertical="center" wrapText="1"/>
    </xf>
    <xf numFmtId="0" fontId="217" fillId="0" borderId="77" xfId="0" applyFont="1" applyBorder="1" applyAlignment="1">
      <alignment vertical="center" wrapText="1"/>
    </xf>
    <xf numFmtId="0" fontId="6" fillId="0" borderId="79" xfId="0" applyFont="1" applyBorder="1"/>
    <xf numFmtId="0" fontId="6" fillId="0" borderId="80" xfId="0" applyFont="1" applyBorder="1"/>
    <xf numFmtId="170" fontId="253" fillId="0" borderId="0" xfId="0" applyNumberFormat="1" applyFont="1"/>
    <xf numFmtId="3" fontId="218" fillId="0" borderId="77" xfId="0" applyNumberFormat="1" applyFont="1" applyBorder="1" applyAlignment="1">
      <alignment vertical="center" wrapText="1"/>
    </xf>
    <xf numFmtId="3" fontId="218" fillId="0" borderId="77" xfId="1" applyNumberFormat="1" applyFont="1" applyFill="1" applyBorder="1" applyAlignment="1">
      <alignment vertical="center" wrapText="1"/>
    </xf>
    <xf numFmtId="3" fontId="218" fillId="0" borderId="77" xfId="1" applyNumberFormat="1" applyFont="1" applyFill="1" applyBorder="1" applyAlignment="1">
      <alignment horizontal="right" vertical="center" wrapText="1"/>
    </xf>
    <xf numFmtId="3" fontId="217" fillId="0" borderId="77" xfId="0" applyNumberFormat="1" applyFont="1" applyBorder="1" applyAlignment="1">
      <alignment vertical="center" wrapText="1"/>
    </xf>
    <xf numFmtId="3" fontId="220" fillId="0" borderId="82" xfId="1" applyNumberFormat="1" applyFont="1" applyFill="1" applyBorder="1" applyAlignment="1">
      <alignment horizontal="right" vertical="center" wrapText="1"/>
    </xf>
    <xf numFmtId="172" fontId="220" fillId="0" borderId="82" xfId="1" applyNumberFormat="1" applyFont="1" applyFill="1" applyBorder="1" applyAlignment="1">
      <alignment horizontal="center" vertical="center" wrapText="1"/>
    </xf>
    <xf numFmtId="172" fontId="17" fillId="0" borderId="82" xfId="1" applyNumberFormat="1" applyFont="1" applyFill="1" applyBorder="1" applyAlignment="1">
      <alignment horizontal="center" vertical="center" wrapText="1"/>
    </xf>
    <xf numFmtId="3" fontId="17" fillId="0" borderId="82" xfId="1" applyNumberFormat="1" applyFont="1" applyFill="1" applyBorder="1" applyAlignment="1">
      <alignment vertical="center" wrapText="1"/>
    </xf>
    <xf numFmtId="3" fontId="16" fillId="0" borderId="82" xfId="1" applyNumberFormat="1" applyFont="1" applyFill="1" applyBorder="1" applyAlignment="1">
      <alignment horizontal="right" vertical="center" wrapText="1"/>
    </xf>
    <xf numFmtId="172" fontId="16" fillId="0" borderId="82" xfId="1" applyNumberFormat="1" applyFont="1" applyFill="1" applyBorder="1" applyAlignment="1">
      <alignment horizontal="center" vertical="center" wrapText="1"/>
    </xf>
    <xf numFmtId="3" fontId="17" fillId="0" borderId="82" xfId="1" applyNumberFormat="1" applyFont="1" applyFill="1" applyBorder="1" applyAlignment="1">
      <alignment horizontal="right" vertical="center" wrapText="1"/>
    </xf>
    <xf numFmtId="172" fontId="17" fillId="0" borderId="83" xfId="1" applyNumberFormat="1" applyFont="1" applyFill="1" applyBorder="1" applyAlignment="1">
      <alignment horizontal="center" vertical="center" wrapText="1"/>
    </xf>
    <xf numFmtId="170" fontId="246" fillId="70" borderId="0" xfId="0" applyNumberFormat="1" applyFont="1" applyFill="1" applyAlignment="1">
      <alignment horizontal="center" vertical="center" wrapText="1"/>
    </xf>
    <xf numFmtId="9" fontId="16" fillId="0" borderId="82" xfId="2266" applyFont="1" applyFill="1" applyBorder="1" applyAlignment="1">
      <alignment horizontal="right" vertical="center" wrapText="1"/>
    </xf>
    <xf numFmtId="43" fontId="16" fillId="0" borderId="82" xfId="1" applyFont="1" applyFill="1" applyBorder="1" applyAlignment="1">
      <alignment horizontal="right" vertical="center" wrapText="1"/>
    </xf>
    <xf numFmtId="174" fontId="16" fillId="0" borderId="82" xfId="5" applyNumberFormat="1" applyFont="1" applyFill="1" applyBorder="1" applyAlignment="1">
      <alignment horizontal="right" vertical="center" wrapText="1"/>
    </xf>
    <xf numFmtId="3" fontId="16" fillId="0" borderId="82" xfId="5" applyNumberFormat="1" applyFont="1" applyFill="1" applyBorder="1" applyAlignment="1">
      <alignment horizontal="right" vertical="center" wrapText="1"/>
    </xf>
    <xf numFmtId="171" fontId="16" fillId="0" borderId="82" xfId="1" applyNumberFormat="1" applyFont="1" applyFill="1" applyBorder="1" applyAlignment="1">
      <alignment horizontal="right" vertical="center" wrapText="1"/>
    </xf>
    <xf numFmtId="171" fontId="16" fillId="0" borderId="82" xfId="1" applyNumberFormat="1" applyFont="1" applyFill="1" applyBorder="1" applyAlignment="1">
      <alignment horizontal="center" vertical="center" wrapText="1"/>
    </xf>
    <xf numFmtId="170" fontId="252" fillId="0" borderId="0" xfId="0" applyNumberFormat="1" applyFont="1"/>
    <xf numFmtId="0" fontId="65" fillId="0" borderId="1" xfId="0" applyFont="1" applyBorder="1" applyAlignment="1">
      <alignment horizontal="center" vertical="center" wrapText="1"/>
    </xf>
    <xf numFmtId="170" fontId="229" fillId="0" borderId="0" xfId="0" applyNumberFormat="1" applyFont="1" applyAlignment="1">
      <alignment vertical="center" wrapText="1"/>
    </xf>
    <xf numFmtId="168" fontId="218" fillId="0" borderId="79" xfId="0" applyNumberFormat="1" applyFont="1" applyBorder="1"/>
    <xf numFmtId="168" fontId="218" fillId="0" borderId="79" xfId="0" applyNumberFormat="1" applyFont="1" applyBorder="1" applyAlignment="1">
      <alignment horizontal="right"/>
    </xf>
    <xf numFmtId="172" fontId="218" fillId="0" borderId="79" xfId="1" applyNumberFormat="1" applyFont="1" applyBorder="1"/>
    <xf numFmtId="0" fontId="218" fillId="0" borderId="0" xfId="0" applyFont="1"/>
    <xf numFmtId="0" fontId="8" fillId="0" borderId="85" xfId="0" applyFont="1" applyBorder="1" applyAlignment="1">
      <alignment horizontal="center" vertical="center" wrapText="1"/>
    </xf>
    <xf numFmtId="0" fontId="8" fillId="0" borderId="85" xfId="0" applyFont="1" applyBorder="1" applyAlignment="1">
      <alignment vertical="center" wrapText="1"/>
    </xf>
    <xf numFmtId="0" fontId="9" fillId="0" borderId="85" xfId="0" applyFont="1" applyBorder="1" applyAlignment="1">
      <alignment horizontal="center" vertical="center" wrapText="1"/>
    </xf>
    <xf numFmtId="0" fontId="9" fillId="0" borderId="85" xfId="0" applyFont="1" applyBorder="1" applyAlignment="1">
      <alignment vertical="center" wrapText="1"/>
    </xf>
    <xf numFmtId="3" fontId="16" fillId="0" borderId="88" xfId="0" applyNumberFormat="1" applyFont="1" applyBorder="1" applyAlignment="1">
      <alignment vertical="center" wrapText="1"/>
    </xf>
    <xf numFmtId="0" fontId="9" fillId="0" borderId="17" xfId="0" applyFont="1" applyBorder="1" applyAlignment="1">
      <alignment horizontal="center" vertical="center" wrapText="1"/>
    </xf>
    <xf numFmtId="9" fontId="8" fillId="0" borderId="17" xfId="2270" applyFont="1" applyFill="1" applyBorder="1" applyAlignment="1">
      <alignment horizontal="right" vertical="center" wrapText="1"/>
    </xf>
    <xf numFmtId="0" fontId="8" fillId="0" borderId="87" xfId="0" applyFont="1" applyBorder="1" applyAlignment="1">
      <alignment horizontal="center" vertical="center" wrapText="1"/>
    </xf>
    <xf numFmtId="0" fontId="8" fillId="0" borderId="87" xfId="0" applyFont="1" applyBorder="1" applyAlignment="1">
      <alignment vertical="center" wrapText="1"/>
    </xf>
    <xf numFmtId="3" fontId="17" fillId="0" borderId="87" xfId="0" applyNumberFormat="1" applyFont="1" applyBorder="1" applyAlignment="1">
      <alignment horizontal="right" vertical="center" wrapText="1"/>
    </xf>
    <xf numFmtId="9" fontId="8" fillId="0" borderId="87" xfId="2270" applyFont="1" applyFill="1" applyBorder="1" applyAlignment="1">
      <alignment horizontal="right" vertical="center" wrapText="1"/>
    </xf>
    <xf numFmtId="3" fontId="16" fillId="0" borderId="85" xfId="5" applyNumberFormat="1" applyFont="1" applyFill="1" applyBorder="1" applyAlignment="1">
      <alignment vertical="center" wrapText="1"/>
    </xf>
    <xf numFmtId="3" fontId="16" fillId="0" borderId="85" xfId="0" applyNumberFormat="1" applyFont="1" applyBorder="1" applyAlignment="1">
      <alignment vertical="center" wrapText="1"/>
    </xf>
    <xf numFmtId="9" fontId="9" fillId="0" borderId="85" xfId="2270" applyFont="1" applyFill="1" applyBorder="1" applyAlignment="1">
      <alignment horizontal="right" vertical="center" wrapText="1"/>
    </xf>
    <xf numFmtId="173" fontId="17" fillId="0" borderId="85" xfId="5" applyNumberFormat="1" applyFont="1" applyFill="1" applyBorder="1" applyAlignment="1">
      <alignment horizontal="right" vertical="center" wrapText="1"/>
    </xf>
    <xf numFmtId="9" fontId="8" fillId="0" borderId="85" xfId="2270" applyFont="1" applyFill="1" applyBorder="1" applyAlignment="1">
      <alignment horizontal="right" vertical="center" wrapText="1"/>
    </xf>
    <xf numFmtId="0" fontId="9" fillId="0" borderId="88" xfId="0" applyFont="1" applyBorder="1" applyAlignment="1">
      <alignment horizontal="center" vertical="center" wrapText="1"/>
    </xf>
    <xf numFmtId="0" fontId="9" fillId="0" borderId="88" xfId="0" applyFont="1" applyBorder="1" applyAlignment="1">
      <alignment vertical="center" wrapText="1"/>
    </xf>
    <xf numFmtId="3" fontId="16" fillId="0" borderId="88" xfId="5" applyNumberFormat="1" applyFont="1" applyFill="1" applyBorder="1" applyAlignment="1">
      <alignment vertical="center" wrapText="1"/>
    </xf>
    <xf numFmtId="9" fontId="9" fillId="0" borderId="88" xfId="2270" applyFont="1" applyFill="1" applyBorder="1" applyAlignment="1">
      <alignment horizontal="right" vertical="center" wrapText="1"/>
    </xf>
    <xf numFmtId="9" fontId="9" fillId="0" borderId="89" xfId="2270" applyFont="1" applyFill="1" applyBorder="1" applyAlignment="1">
      <alignment horizontal="right" vertical="center" wrapText="1"/>
    </xf>
    <xf numFmtId="9" fontId="17" fillId="0" borderId="82" xfId="2266" applyFont="1" applyFill="1" applyBorder="1" applyAlignment="1">
      <alignment horizontal="right" vertical="center" wrapText="1"/>
    </xf>
    <xf numFmtId="3" fontId="16" fillId="0" borderId="88" xfId="1" applyNumberFormat="1" applyFont="1" applyFill="1" applyBorder="1" applyAlignment="1">
      <alignment horizontal="right" vertical="center" wrapText="1"/>
    </xf>
    <xf numFmtId="9" fontId="16" fillId="0" borderId="88" xfId="2266" applyFont="1" applyFill="1" applyBorder="1" applyAlignment="1">
      <alignment horizontal="right" vertical="center" wrapText="1"/>
    </xf>
    <xf numFmtId="0" fontId="9" fillId="0" borderId="69" xfId="0" applyFont="1" applyBorder="1" applyAlignment="1">
      <alignment horizontal="center" vertical="center" wrapText="1"/>
    </xf>
    <xf numFmtId="0" fontId="9" fillId="0" borderId="69" xfId="0" applyFont="1" applyBorder="1" applyAlignment="1">
      <alignment vertical="center" wrapText="1"/>
    </xf>
    <xf numFmtId="0" fontId="9" fillId="0" borderId="70" xfId="0" applyFont="1" applyBorder="1" applyAlignment="1">
      <alignment horizontal="center" vertical="center" wrapText="1"/>
    </xf>
    <xf numFmtId="0" fontId="9" fillId="0" borderId="70" xfId="0" applyFont="1" applyBorder="1" applyAlignment="1">
      <alignment vertical="center" wrapText="1"/>
    </xf>
    <xf numFmtId="0" fontId="217" fillId="0" borderId="1" xfId="0" applyFont="1" applyBorder="1" applyAlignment="1">
      <alignment horizontal="center" vertical="center" wrapText="1"/>
    </xf>
    <xf numFmtId="0" fontId="256" fillId="0" borderId="0" xfId="0" applyFont="1" applyAlignment="1">
      <alignment horizontal="center" vertical="center"/>
    </xf>
    <xf numFmtId="0" fontId="6" fillId="0" borderId="0" xfId="0" applyFont="1" applyAlignment="1">
      <alignment horizontal="right" vertical="center"/>
    </xf>
    <xf numFmtId="0" fontId="256" fillId="0" borderId="0" xfId="0" applyFont="1" applyAlignment="1">
      <alignment horizontal="right" vertical="center"/>
    </xf>
    <xf numFmtId="0" fontId="217" fillId="0" borderId="17" xfId="0" applyFont="1" applyBorder="1" applyAlignment="1">
      <alignment horizontal="center" vertical="center" wrapText="1"/>
    </xf>
    <xf numFmtId="3" fontId="218" fillId="0" borderId="77" xfId="1" applyNumberFormat="1" applyFont="1" applyBorder="1" applyAlignment="1">
      <alignment vertical="center" wrapText="1"/>
    </xf>
    <xf numFmtId="3" fontId="218" fillId="0" borderId="92" xfId="0" applyNumberFormat="1" applyFont="1" applyBorder="1" applyAlignment="1">
      <alignment vertical="center" wrapText="1"/>
    </xf>
    <xf numFmtId="0" fontId="218" fillId="0" borderId="74" xfId="0" applyFont="1" applyBorder="1" applyAlignment="1">
      <alignment horizontal="center" vertical="center" wrapText="1"/>
    </xf>
    <xf numFmtId="0" fontId="218" fillId="0" borderId="75" xfId="0" applyFont="1" applyBorder="1" applyAlignment="1">
      <alignment vertical="center" wrapText="1"/>
    </xf>
    <xf numFmtId="172" fontId="218" fillId="0" borderId="75" xfId="1" applyNumberFormat="1" applyFont="1" applyBorder="1" applyAlignment="1">
      <alignment horizontal="right" vertical="center" wrapText="1"/>
    </xf>
    <xf numFmtId="298" fontId="218" fillId="0" borderId="75" xfId="0" applyNumberFormat="1" applyFont="1" applyBorder="1" applyAlignment="1">
      <alignment vertical="center" wrapText="1"/>
    </xf>
    <xf numFmtId="0" fontId="218" fillId="0" borderId="76" xfId="0" applyFont="1" applyBorder="1" applyAlignment="1">
      <alignment vertical="center" wrapText="1"/>
    </xf>
    <xf numFmtId="0" fontId="218" fillId="0" borderId="78" xfId="0" applyFont="1" applyBorder="1" applyAlignment="1">
      <alignment horizontal="center" vertical="center" wrapText="1"/>
    </xf>
    <xf numFmtId="0" fontId="218" fillId="0" borderId="79" xfId="2268" applyFont="1" applyBorder="1" applyAlignment="1">
      <alignment vertical="center" wrapText="1"/>
    </xf>
    <xf numFmtId="0" fontId="218" fillId="0" borderId="79" xfId="0" applyFont="1" applyBorder="1" applyAlignment="1">
      <alignment vertical="center" wrapText="1"/>
    </xf>
    <xf numFmtId="298" fontId="218" fillId="0" borderId="79" xfId="0" applyNumberFormat="1" applyFont="1" applyBorder="1" applyAlignment="1">
      <alignment vertical="center" wrapText="1"/>
    </xf>
    <xf numFmtId="0" fontId="218" fillId="0" borderId="80" xfId="0" applyFont="1" applyBorder="1" applyAlignment="1">
      <alignment vertical="center" wrapText="1"/>
    </xf>
    <xf numFmtId="172" fontId="218" fillId="0" borderId="77" xfId="1" applyNumberFormat="1" applyFont="1" applyBorder="1" applyAlignment="1">
      <alignment vertical="center" wrapText="1"/>
    </xf>
    <xf numFmtId="0" fontId="218" fillId="0" borderId="71" xfId="0" applyFont="1" applyBorder="1" applyAlignment="1">
      <alignment horizontal="center" vertical="center" wrapText="1"/>
    </xf>
    <xf numFmtId="0" fontId="218" fillId="0" borderId="72" xfId="0" applyFont="1" applyBorder="1" applyAlignment="1">
      <alignment vertical="center" wrapText="1"/>
    </xf>
    <xf numFmtId="0" fontId="218" fillId="0" borderId="92" xfId="0" quotePrefix="1" applyFont="1" applyBorder="1" applyAlignment="1">
      <alignment horizontal="center" vertical="center" wrapText="1"/>
    </xf>
    <xf numFmtId="0" fontId="218" fillId="0" borderId="92" xfId="0" applyFont="1" applyBorder="1" applyAlignment="1">
      <alignment vertical="center" wrapText="1"/>
    </xf>
    <xf numFmtId="0" fontId="218" fillId="0" borderId="92" xfId="0" quotePrefix="1" applyFont="1" applyBorder="1" applyAlignment="1">
      <alignment horizontal="center" vertical="center"/>
    </xf>
    <xf numFmtId="0" fontId="218" fillId="0" borderId="92" xfId="0" applyFont="1" applyBorder="1" applyAlignment="1">
      <alignment horizontal="justify" vertical="center" wrapText="1"/>
    </xf>
    <xf numFmtId="0" fontId="233" fillId="0" borderId="77" xfId="0" applyFont="1" applyBorder="1" applyAlignment="1">
      <alignment horizontal="center" vertical="center" wrapText="1"/>
    </xf>
    <xf numFmtId="3" fontId="218" fillId="0" borderId="92" xfId="0" applyNumberFormat="1" applyFont="1" applyBorder="1" applyAlignment="1">
      <alignment horizontal="right" vertical="center" wrapText="1"/>
    </xf>
    <xf numFmtId="43" fontId="218" fillId="0" borderId="92" xfId="1" applyFont="1" applyFill="1" applyBorder="1" applyAlignment="1">
      <alignment vertical="center" wrapText="1"/>
    </xf>
    <xf numFmtId="43" fontId="218" fillId="0" borderId="77" xfId="1" applyFont="1" applyBorder="1" applyAlignment="1">
      <alignment vertical="center" wrapText="1"/>
    </xf>
    <xf numFmtId="3" fontId="218" fillId="0" borderId="92" xfId="1" applyNumberFormat="1" applyFont="1" applyFill="1" applyBorder="1" applyAlignment="1">
      <alignment vertical="center" wrapText="1"/>
    </xf>
    <xf numFmtId="170" fontId="218" fillId="0" borderId="92" xfId="1" applyNumberFormat="1" applyFont="1" applyFill="1" applyBorder="1" applyAlignment="1">
      <alignment horizontal="right" vertical="center" wrapText="1"/>
    </xf>
    <xf numFmtId="170" fontId="218" fillId="0" borderId="92" xfId="1" applyNumberFormat="1" applyFont="1" applyFill="1" applyBorder="1" applyAlignment="1">
      <alignment vertical="center" wrapText="1"/>
    </xf>
    <xf numFmtId="0" fontId="218" fillId="0" borderId="77" xfId="0" applyFont="1" applyBorder="1" applyAlignment="1">
      <alignment horizontal="justify" vertical="center" wrapText="1"/>
    </xf>
    <xf numFmtId="3" fontId="218" fillId="0" borderId="77" xfId="0" applyNumberFormat="1" applyFont="1" applyBorder="1" applyAlignment="1">
      <alignment horizontal="right" vertical="center" wrapText="1"/>
    </xf>
    <xf numFmtId="298" fontId="6" fillId="0" borderId="0" xfId="0" applyNumberFormat="1" applyFont="1"/>
    <xf numFmtId="168" fontId="6" fillId="0" borderId="0" xfId="0" applyNumberFormat="1" applyFont="1"/>
    <xf numFmtId="0" fontId="218" fillId="0" borderId="77" xfId="2268" applyFont="1" applyBorder="1" applyAlignment="1">
      <alignment vertical="center" wrapText="1"/>
    </xf>
    <xf numFmtId="0" fontId="218" fillId="0" borderId="84" xfId="0" applyFont="1" applyBorder="1" applyAlignment="1">
      <alignment horizontal="center" vertical="center" wrapText="1"/>
    </xf>
    <xf numFmtId="0" fontId="218" fillId="0" borderId="84" xfId="0" applyFont="1" applyBorder="1" applyAlignment="1">
      <alignment vertical="center" wrapText="1"/>
    </xf>
    <xf numFmtId="3" fontId="218" fillId="0" borderId="84" xfId="0" applyNumberFormat="1" applyFont="1" applyBorder="1" applyAlignment="1">
      <alignment vertical="center" wrapText="1"/>
    </xf>
    <xf numFmtId="0" fontId="218" fillId="0" borderId="92" xfId="0" applyFont="1" applyBorder="1" applyAlignment="1">
      <alignment horizontal="center" vertical="center" wrapText="1"/>
    </xf>
    <xf numFmtId="0" fontId="233" fillId="0" borderId="92" xfId="0" applyFont="1" applyBorder="1" applyAlignment="1">
      <alignment vertical="center" wrapText="1"/>
    </xf>
    <xf numFmtId="43" fontId="218" fillId="0" borderId="92" xfId="1" applyFont="1" applyBorder="1" applyAlignment="1">
      <alignment horizontal="right" vertical="center" wrapText="1"/>
    </xf>
    <xf numFmtId="43" fontId="218" fillId="0" borderId="92" xfId="1" applyFont="1" applyBorder="1" applyAlignment="1">
      <alignment vertical="center" wrapText="1"/>
    </xf>
    <xf numFmtId="0" fontId="218" fillId="0" borderId="92" xfId="2268" applyFont="1" applyBorder="1" applyAlignment="1">
      <alignment vertical="center" wrapText="1"/>
    </xf>
    <xf numFmtId="302" fontId="218" fillId="0" borderId="92" xfId="1" applyNumberFormat="1" applyFont="1" applyBorder="1" applyAlignment="1">
      <alignment horizontal="right" vertical="center" wrapText="1"/>
    </xf>
    <xf numFmtId="0" fontId="218" fillId="0" borderId="92" xfId="0" applyFont="1" applyBorder="1" applyAlignment="1">
      <alignment horizontal="center" wrapText="1"/>
    </xf>
    <xf numFmtId="172" fontId="218" fillId="0" borderId="92" xfId="1" applyNumberFormat="1" applyFont="1" applyBorder="1" applyAlignment="1">
      <alignment horizontal="right" wrapText="1"/>
    </xf>
    <xf numFmtId="297" fontId="218" fillId="71" borderId="92" xfId="1" applyNumberFormat="1" applyFont="1" applyFill="1" applyBorder="1" applyAlignment="1">
      <alignment horizontal="right" wrapText="1"/>
    </xf>
    <xf numFmtId="297" fontId="218" fillId="0" borderId="92" xfId="1" applyNumberFormat="1" applyFont="1" applyBorder="1" applyAlignment="1">
      <alignment horizontal="right" wrapText="1"/>
    </xf>
    <xf numFmtId="43" fontId="217" fillId="0" borderId="92" xfId="1" applyFont="1" applyBorder="1" applyAlignment="1">
      <alignment vertical="center" wrapText="1"/>
    </xf>
    <xf numFmtId="2" fontId="218" fillId="0" borderId="92" xfId="0" applyNumberFormat="1" applyFont="1" applyBorder="1" applyAlignment="1">
      <alignment vertical="center" wrapText="1"/>
    </xf>
    <xf numFmtId="0" fontId="218" fillId="0" borderId="18" xfId="0" applyFont="1" applyBorder="1" applyAlignment="1">
      <alignment horizontal="center" vertical="center" wrapText="1"/>
    </xf>
    <xf numFmtId="0" fontId="218" fillId="0" borderId="18" xfId="0" applyFont="1" applyBorder="1" applyAlignment="1">
      <alignment vertical="center" wrapText="1"/>
    </xf>
    <xf numFmtId="43" fontId="218" fillId="0" borderId="18" xfId="0" applyNumberFormat="1" applyFont="1" applyBorder="1" applyAlignment="1">
      <alignment vertical="center" wrapText="1"/>
    </xf>
    <xf numFmtId="2" fontId="218" fillId="0" borderId="18" xfId="0" applyNumberFormat="1" applyFont="1" applyBorder="1" applyAlignment="1">
      <alignment vertical="center" wrapText="1"/>
    </xf>
    <xf numFmtId="0" fontId="218" fillId="0" borderId="87" xfId="0" applyFont="1" applyBorder="1" applyAlignment="1">
      <alignment horizontal="center" vertical="center" wrapText="1"/>
    </xf>
    <xf numFmtId="0" fontId="233" fillId="0" borderId="87" xfId="0" applyFont="1" applyBorder="1" applyAlignment="1">
      <alignment vertical="center" wrapText="1"/>
    </xf>
    <xf numFmtId="43" fontId="218" fillId="0" borderId="87" xfId="0" applyNumberFormat="1" applyFont="1" applyBorder="1" applyAlignment="1">
      <alignment vertical="center" wrapText="1"/>
    </xf>
    <xf numFmtId="2" fontId="218" fillId="0" borderId="87" xfId="0" applyNumberFormat="1" applyFont="1" applyBorder="1" applyAlignment="1">
      <alignment vertical="center" wrapText="1"/>
    </xf>
    <xf numFmtId="0" fontId="218" fillId="0" borderId="87" xfId="0" applyFont="1" applyBorder="1" applyAlignment="1">
      <alignment vertical="center" wrapText="1"/>
    </xf>
    <xf numFmtId="43" fontId="218" fillId="0" borderId="87" xfId="1" applyFont="1" applyFill="1" applyBorder="1" applyAlignment="1">
      <alignment vertical="center"/>
    </xf>
    <xf numFmtId="0" fontId="218" fillId="0" borderId="87" xfId="2268" applyFont="1" applyBorder="1" applyAlignment="1">
      <alignment vertical="center" wrapText="1"/>
    </xf>
    <xf numFmtId="3" fontId="218" fillId="0" borderId="87" xfId="0" applyNumberFormat="1" applyFont="1" applyBorder="1" applyAlignment="1">
      <alignment vertical="center" wrapText="1"/>
    </xf>
    <xf numFmtId="172" fontId="218" fillId="0" borderId="87" xfId="1" applyNumberFormat="1" applyFont="1" applyBorder="1" applyAlignment="1">
      <alignment vertical="center" wrapText="1"/>
    </xf>
    <xf numFmtId="0" fontId="218" fillId="0" borderId="87" xfId="0" quotePrefix="1" applyFont="1" applyBorder="1" applyAlignment="1">
      <alignment horizontal="center" vertical="center" wrapText="1"/>
    </xf>
    <xf numFmtId="3" fontId="218" fillId="0" borderId="18" xfId="0" applyNumberFormat="1" applyFont="1" applyBorder="1" applyAlignment="1">
      <alignment vertical="center" wrapText="1"/>
    </xf>
    <xf numFmtId="3" fontId="218" fillId="0" borderId="90" xfId="0" applyNumberFormat="1" applyFont="1" applyBorder="1" applyAlignment="1">
      <alignment vertical="center" wrapText="1"/>
    </xf>
    <xf numFmtId="0" fontId="218" fillId="0" borderId="91" xfId="0" applyFont="1" applyBorder="1" applyAlignment="1">
      <alignment horizontal="center" vertical="center" wrapText="1"/>
    </xf>
    <xf numFmtId="0" fontId="218" fillId="0" borderId="91" xfId="2268" applyFont="1" applyBorder="1" applyAlignment="1">
      <alignment vertical="center" wrapText="1"/>
    </xf>
    <xf numFmtId="172" fontId="218" fillId="0" borderId="91" xfId="1" applyNumberFormat="1" applyFont="1" applyBorder="1" applyAlignment="1">
      <alignment horizontal="right" vertical="center" wrapText="1"/>
    </xf>
    <xf numFmtId="172" fontId="218" fillId="0" borderId="91" xfId="1" applyNumberFormat="1" applyFont="1" applyBorder="1" applyAlignment="1">
      <alignment vertical="center" wrapText="1"/>
    </xf>
    <xf numFmtId="3" fontId="17" fillId="0" borderId="17" xfId="0" applyNumberFormat="1" applyFont="1" applyBorder="1" applyAlignment="1">
      <alignment vertical="center" wrapText="1"/>
    </xf>
    <xf numFmtId="3" fontId="16" fillId="0" borderId="69" xfId="1" applyNumberFormat="1" applyFont="1" applyFill="1" applyBorder="1" applyAlignment="1">
      <alignment vertical="center" wrapText="1"/>
    </xf>
    <xf numFmtId="3" fontId="16" fillId="0" borderId="69" xfId="2" applyNumberFormat="1" applyFont="1" applyFill="1" applyBorder="1" applyAlignment="1">
      <alignment vertical="center" wrapText="1"/>
    </xf>
    <xf numFmtId="170" fontId="241" fillId="0" borderId="93" xfId="1" applyNumberFormat="1" applyFont="1" applyFill="1" applyBorder="1" applyAlignment="1">
      <alignment horizontal="right" vertical="center" wrapText="1"/>
    </xf>
    <xf numFmtId="170" fontId="234" fillId="0" borderId="93" xfId="1" applyNumberFormat="1" applyFont="1" applyFill="1" applyBorder="1" applyAlignment="1">
      <alignment horizontal="right" vertical="center" wrapText="1"/>
    </xf>
    <xf numFmtId="3" fontId="234" fillId="0" borderId="93" xfId="1" applyNumberFormat="1" applyFont="1" applyFill="1" applyBorder="1" applyAlignment="1">
      <alignment horizontal="right" vertical="center" wrapText="1"/>
    </xf>
    <xf numFmtId="170" fontId="16" fillId="0" borderId="93" xfId="1" applyNumberFormat="1" applyFont="1" applyFill="1" applyBorder="1" applyAlignment="1">
      <alignment horizontal="right" vertical="center" wrapText="1"/>
    </xf>
    <xf numFmtId="3" fontId="16" fillId="0" borderId="93" xfId="1" applyNumberFormat="1" applyFont="1" applyFill="1" applyBorder="1" applyAlignment="1">
      <alignment horizontal="right" vertical="center" wrapText="1"/>
    </xf>
    <xf numFmtId="170" fontId="229" fillId="0" borderId="93" xfId="1" applyNumberFormat="1" applyFont="1" applyFill="1" applyBorder="1" applyAlignment="1">
      <alignment horizontal="center" vertical="center" wrapText="1"/>
    </xf>
    <xf numFmtId="172" fontId="229" fillId="0" borderId="93" xfId="1" applyNumberFormat="1" applyFont="1" applyFill="1" applyBorder="1" applyAlignment="1">
      <alignment horizontal="center" vertical="center" wrapText="1"/>
    </xf>
    <xf numFmtId="170" fontId="229" fillId="0" borderId="93" xfId="1" applyNumberFormat="1" applyFont="1" applyFill="1" applyBorder="1" applyAlignment="1">
      <alignment vertical="center" wrapText="1"/>
    </xf>
    <xf numFmtId="172" fontId="86" fillId="0" borderId="93" xfId="3" quotePrefix="1" applyNumberFormat="1" applyFont="1" applyFill="1" applyBorder="1" applyAlignment="1">
      <alignment horizontal="center" vertical="center" wrapText="1"/>
    </xf>
    <xf numFmtId="170" fontId="86" fillId="0" borderId="93" xfId="3" applyNumberFormat="1" applyFont="1" applyFill="1" applyBorder="1" applyAlignment="1">
      <alignment horizontal="left" vertical="center" wrapText="1"/>
    </xf>
    <xf numFmtId="170" fontId="86" fillId="0" borderId="93" xfId="1" applyNumberFormat="1" applyFont="1" applyFill="1" applyBorder="1" applyAlignment="1">
      <alignment horizontal="center" vertical="center" wrapText="1"/>
    </xf>
    <xf numFmtId="170" fontId="86" fillId="0" borderId="93" xfId="1" applyNumberFormat="1" applyFont="1" applyFill="1" applyBorder="1" applyAlignment="1">
      <alignment vertical="center"/>
    </xf>
    <xf numFmtId="172" fontId="86" fillId="0" borderId="93" xfId="1" applyNumberFormat="1" applyFont="1" applyFill="1" applyBorder="1" applyAlignment="1">
      <alignment horizontal="center" vertical="center" wrapText="1"/>
    </xf>
    <xf numFmtId="170" fontId="86" fillId="0" borderId="93" xfId="3" quotePrefix="1" applyNumberFormat="1" applyFont="1" applyFill="1" applyBorder="1" applyAlignment="1">
      <alignment horizontal="center" vertical="center"/>
    </xf>
    <xf numFmtId="0" fontId="86" fillId="0" borderId="93" xfId="4" applyFont="1" applyBorder="1" applyAlignment="1">
      <alignment vertical="center" wrapText="1"/>
    </xf>
    <xf numFmtId="170" fontId="86" fillId="0" borderId="93" xfId="3" applyNumberFormat="1" applyFont="1" applyFill="1" applyBorder="1" applyAlignment="1">
      <alignment vertical="center" wrapText="1"/>
    </xf>
    <xf numFmtId="3" fontId="86" fillId="0" borderId="93" xfId="1" applyNumberFormat="1" applyFont="1" applyFill="1" applyBorder="1" applyAlignment="1">
      <alignment horizontal="right" vertical="center" wrapText="1"/>
    </xf>
    <xf numFmtId="0" fontId="86" fillId="0" borderId="93" xfId="0" applyFont="1" applyBorder="1" applyAlignment="1" applyProtection="1">
      <alignment horizontal="left" vertical="center" wrapText="1"/>
      <protection locked="0"/>
    </xf>
    <xf numFmtId="3" fontId="86" fillId="0" borderId="93" xfId="1004" applyNumberFormat="1" applyFont="1" applyBorder="1" applyAlignment="1">
      <alignment vertical="center" wrapText="1"/>
    </xf>
    <xf numFmtId="0" fontId="86" fillId="0" borderId="93" xfId="1004" applyFont="1" applyBorder="1" applyAlignment="1">
      <alignment vertical="center" wrapText="1"/>
    </xf>
    <xf numFmtId="0" fontId="86" fillId="0" borderId="93" xfId="0" applyFont="1" applyBorder="1" applyAlignment="1">
      <alignment horizontal="left" vertical="center" wrapText="1"/>
    </xf>
    <xf numFmtId="170" fontId="229" fillId="0" borderId="93" xfId="1" quotePrefix="1" applyNumberFormat="1" applyFont="1" applyFill="1" applyBorder="1" applyAlignment="1">
      <alignment horizontal="center" vertical="center" wrapText="1"/>
    </xf>
    <xf numFmtId="3" fontId="229" fillId="0" borderId="93" xfId="1004" applyNumberFormat="1" applyFont="1" applyBorder="1" applyAlignment="1">
      <alignment horizontal="left" vertical="center" wrapText="1"/>
    </xf>
    <xf numFmtId="170" fontId="86" fillId="0" borderId="93" xfId="1" quotePrefix="1" applyNumberFormat="1" applyFont="1" applyFill="1" applyBorder="1" applyAlignment="1">
      <alignment horizontal="center" vertical="center" wrapText="1"/>
    </xf>
    <xf numFmtId="170" fontId="86" fillId="0" borderId="93" xfId="1" applyNumberFormat="1" applyFont="1" applyFill="1" applyBorder="1" applyAlignment="1">
      <alignment horizontal="left" vertical="center" wrapText="1"/>
    </xf>
    <xf numFmtId="170" fontId="229" fillId="0" borderId="93" xfId="1" applyNumberFormat="1" applyFont="1" applyFill="1" applyBorder="1" applyAlignment="1">
      <alignment horizontal="left" vertical="center" wrapText="1"/>
    </xf>
    <xf numFmtId="170" fontId="229" fillId="0" borderId="93" xfId="1" applyNumberFormat="1" applyFont="1" applyFill="1" applyBorder="1" applyAlignment="1">
      <alignment vertical="center"/>
    </xf>
    <xf numFmtId="0" fontId="229" fillId="0" borderId="93" xfId="0" applyFont="1" applyBorder="1" applyAlignment="1">
      <alignment horizontal="center" vertical="center" wrapText="1"/>
    </xf>
    <xf numFmtId="0" fontId="229" fillId="0" borderId="93" xfId="0" applyFont="1" applyBorder="1" applyAlignment="1">
      <alignment vertical="center" wrapText="1"/>
    </xf>
    <xf numFmtId="0" fontId="229" fillId="0" borderId="94" xfId="0" applyFont="1" applyBorder="1" applyAlignment="1">
      <alignment horizontal="center" vertical="center" wrapText="1"/>
    </xf>
    <xf numFmtId="0" fontId="229" fillId="0" borderId="94" xfId="0" applyFont="1" applyBorder="1" applyAlignment="1">
      <alignment vertical="center" wrapText="1"/>
    </xf>
    <xf numFmtId="170" fontId="229" fillId="0" borderId="94" xfId="1" applyNumberFormat="1" applyFont="1" applyFill="1" applyBorder="1" applyAlignment="1">
      <alignment vertical="center"/>
    </xf>
    <xf numFmtId="170" fontId="229" fillId="0" borderId="94" xfId="1" applyNumberFormat="1" applyFont="1" applyFill="1" applyBorder="1" applyAlignment="1">
      <alignment horizontal="center" vertical="center" wrapText="1"/>
    </xf>
    <xf numFmtId="0" fontId="229" fillId="0" borderId="95" xfId="0" applyFont="1" applyBorder="1" applyAlignment="1">
      <alignment horizontal="center" vertical="center" wrapText="1"/>
    </xf>
    <xf numFmtId="0" fontId="229" fillId="0" borderId="95" xfId="0" applyFont="1" applyBorder="1" applyAlignment="1">
      <alignment vertical="center" wrapText="1"/>
    </xf>
    <xf numFmtId="170" fontId="229" fillId="0" borderId="95" xfId="1" applyNumberFormat="1" applyFont="1" applyFill="1" applyBorder="1" applyAlignment="1">
      <alignment horizontal="center" vertical="center" wrapText="1"/>
    </xf>
    <xf numFmtId="170" fontId="229" fillId="0" borderId="95" xfId="1" applyNumberFormat="1" applyFont="1" applyFill="1" applyBorder="1" applyAlignment="1">
      <alignment vertical="center"/>
    </xf>
    <xf numFmtId="172" fontId="86" fillId="0" borderId="95" xfId="1" applyNumberFormat="1" applyFont="1" applyFill="1" applyBorder="1" applyAlignment="1">
      <alignment horizontal="center" vertical="center" wrapText="1"/>
    </xf>
    <xf numFmtId="170" fontId="86" fillId="0" borderId="93" xfId="1" applyNumberFormat="1" applyFont="1" applyFill="1" applyBorder="1" applyAlignment="1">
      <alignment horizontal="right" vertical="center" wrapText="1"/>
    </xf>
    <xf numFmtId="172" fontId="86" fillId="70" borderId="93" xfId="3" quotePrefix="1" applyNumberFormat="1" applyFont="1" applyFill="1" applyBorder="1" applyAlignment="1">
      <alignment horizontal="center" vertical="center" wrapText="1"/>
    </xf>
    <xf numFmtId="170" fontId="86" fillId="70" borderId="93" xfId="3" applyNumberFormat="1" applyFont="1" applyFill="1" applyBorder="1" applyAlignment="1">
      <alignment vertical="center" wrapText="1"/>
    </xf>
    <xf numFmtId="170" fontId="86" fillId="70" borderId="93" xfId="1" applyNumberFormat="1" applyFont="1" applyFill="1" applyBorder="1" applyAlignment="1">
      <alignment horizontal="center" vertical="center" wrapText="1"/>
    </xf>
    <xf numFmtId="170" fontId="86" fillId="70" borderId="93" xfId="3" quotePrefix="1" applyNumberFormat="1" applyFont="1" applyFill="1" applyBorder="1" applyAlignment="1">
      <alignment horizontal="center" vertical="center"/>
    </xf>
    <xf numFmtId="3" fontId="86" fillId="71" borderId="93" xfId="1004" applyNumberFormat="1" applyFont="1" applyFill="1" applyBorder="1" applyAlignment="1">
      <alignment vertical="center" wrapText="1"/>
    </xf>
    <xf numFmtId="0" fontId="86" fillId="71" borderId="93" xfId="1004" applyFont="1" applyFill="1" applyBorder="1" applyAlignment="1">
      <alignment vertical="center" wrapText="1"/>
    </xf>
    <xf numFmtId="170" fontId="251" fillId="71" borderId="93" xfId="1" applyNumberFormat="1" applyFont="1" applyFill="1" applyBorder="1" applyAlignment="1">
      <alignment horizontal="center" vertical="center" wrapText="1"/>
    </xf>
    <xf numFmtId="0" fontId="86" fillId="71" borderId="93" xfId="0" applyFont="1" applyFill="1" applyBorder="1" applyAlignment="1" applyProtection="1">
      <alignment horizontal="left" vertical="center" wrapText="1"/>
      <protection locked="0"/>
    </xf>
    <xf numFmtId="170" fontId="229" fillId="0" borderId="96" xfId="1" applyNumberFormat="1" applyFont="1" applyFill="1" applyBorder="1" applyAlignment="1">
      <alignment horizontal="center" vertical="center" wrapText="1"/>
    </xf>
    <xf numFmtId="172" fontId="229" fillId="0" borderId="96" xfId="1" applyNumberFormat="1" applyFont="1" applyFill="1" applyBorder="1" applyAlignment="1">
      <alignment horizontal="center" vertical="center" wrapText="1"/>
    </xf>
    <xf numFmtId="170" fontId="229" fillId="0" borderId="96" xfId="1" applyNumberFormat="1" applyFont="1" applyFill="1" applyBorder="1" applyAlignment="1">
      <alignment vertical="center" wrapText="1"/>
    </xf>
    <xf numFmtId="172" fontId="86" fillId="0" borderId="96" xfId="3" quotePrefix="1" applyNumberFormat="1" applyFont="1" applyFill="1" applyBorder="1" applyAlignment="1">
      <alignment horizontal="center" vertical="center" wrapText="1"/>
    </xf>
    <xf numFmtId="170" fontId="86" fillId="0" borderId="96" xfId="3" applyNumberFormat="1" applyFont="1" applyFill="1" applyBorder="1" applyAlignment="1">
      <alignment horizontal="left" vertical="center" wrapText="1"/>
    </xf>
    <xf numFmtId="170" fontId="86" fillId="0" borderId="96" xfId="1" applyNumberFormat="1" applyFont="1" applyFill="1" applyBorder="1" applyAlignment="1">
      <alignment horizontal="center" vertical="center" wrapText="1"/>
    </xf>
    <xf numFmtId="170" fontId="86" fillId="0" borderId="96" xfId="1" applyNumberFormat="1" applyFont="1" applyFill="1" applyBorder="1" applyAlignment="1">
      <alignment vertical="center"/>
    </xf>
    <xf numFmtId="172" fontId="86" fillId="0" borderId="96" xfId="1" applyNumberFormat="1" applyFont="1" applyFill="1" applyBorder="1" applyAlignment="1">
      <alignment horizontal="center" vertical="center" wrapText="1"/>
    </xf>
    <xf numFmtId="170" fontId="86" fillId="0" borderId="96" xfId="3" quotePrefix="1" applyNumberFormat="1" applyFont="1" applyFill="1" applyBorder="1" applyAlignment="1">
      <alignment horizontal="center" vertical="center"/>
    </xf>
    <xf numFmtId="170" fontId="86" fillId="0" borderId="96" xfId="3" applyNumberFormat="1" applyFont="1" applyFill="1" applyBorder="1" applyAlignment="1">
      <alignment vertical="center" wrapText="1"/>
    </xf>
    <xf numFmtId="3" fontId="86" fillId="0" borderId="96" xfId="1" applyNumberFormat="1" applyFont="1" applyFill="1" applyBorder="1" applyAlignment="1">
      <alignment horizontal="right" vertical="center" wrapText="1"/>
    </xf>
    <xf numFmtId="170" fontId="229" fillId="0" borderId="96" xfId="1" quotePrefix="1" applyNumberFormat="1" applyFont="1" applyFill="1" applyBorder="1" applyAlignment="1">
      <alignment horizontal="center" vertical="center" wrapText="1"/>
    </xf>
    <xf numFmtId="170" fontId="86" fillId="0" borderId="96" xfId="1" quotePrefix="1" applyNumberFormat="1" applyFont="1" applyFill="1" applyBorder="1" applyAlignment="1">
      <alignment horizontal="center" vertical="center" wrapText="1"/>
    </xf>
    <xf numFmtId="170" fontId="86" fillId="0" borderId="96" xfId="1" applyNumberFormat="1" applyFont="1" applyFill="1" applyBorder="1" applyAlignment="1">
      <alignment horizontal="left" vertical="center" wrapText="1"/>
    </xf>
    <xf numFmtId="170" fontId="229" fillId="0" borderId="96" xfId="1" applyNumberFormat="1" applyFont="1" applyFill="1" applyBorder="1" applyAlignment="1">
      <alignment horizontal="left" vertical="center" wrapText="1"/>
    </xf>
    <xf numFmtId="170" fontId="229" fillId="0" borderId="96" xfId="1" applyNumberFormat="1" applyFont="1" applyFill="1" applyBorder="1" applyAlignment="1">
      <alignment vertical="center"/>
    </xf>
    <xf numFmtId="170" fontId="229" fillId="0" borderId="97" xfId="1" applyNumberFormat="1" applyFont="1" applyFill="1" applyBorder="1" applyAlignment="1">
      <alignment vertical="center"/>
    </xf>
    <xf numFmtId="170" fontId="229" fillId="0" borderId="97" xfId="1" applyNumberFormat="1" applyFont="1" applyFill="1" applyBorder="1" applyAlignment="1">
      <alignment horizontal="center" vertical="center" wrapText="1"/>
    </xf>
    <xf numFmtId="170" fontId="229" fillId="0" borderId="98" xfId="1" applyNumberFormat="1" applyFont="1" applyFill="1" applyBorder="1" applyAlignment="1">
      <alignment horizontal="center" vertical="center" wrapText="1"/>
    </xf>
    <xf numFmtId="170" fontId="229" fillId="0" borderId="98" xfId="1" applyNumberFormat="1" applyFont="1" applyFill="1" applyBorder="1" applyAlignment="1">
      <alignment vertical="center"/>
    </xf>
    <xf numFmtId="172" fontId="86" fillId="0" borderId="98" xfId="1" applyNumberFormat="1" applyFont="1" applyFill="1" applyBorder="1" applyAlignment="1">
      <alignment horizontal="center" vertical="center" wrapText="1"/>
    </xf>
    <xf numFmtId="0" fontId="9" fillId="0" borderId="99" xfId="0" applyFont="1" applyBorder="1" applyAlignment="1">
      <alignment horizontal="center" vertical="center" wrapText="1"/>
    </xf>
    <xf numFmtId="0" fontId="9" fillId="0" borderId="99" xfId="0" applyFont="1" applyBorder="1" applyAlignment="1">
      <alignment vertical="center" wrapText="1"/>
    </xf>
    <xf numFmtId="3" fontId="16" fillId="0" borderId="99" xfId="5" applyNumberFormat="1" applyFont="1" applyFill="1" applyBorder="1" applyAlignment="1">
      <alignment vertical="center" wrapText="1"/>
    </xf>
    <xf numFmtId="3" fontId="16" fillId="0" borderId="99" xfId="0" applyNumberFormat="1" applyFont="1" applyBorder="1" applyAlignment="1">
      <alignment vertical="center" wrapText="1"/>
    </xf>
    <xf numFmtId="9" fontId="9" fillId="0" borderId="99" xfId="2270" applyFont="1" applyFill="1" applyBorder="1" applyAlignment="1">
      <alignment horizontal="right" vertical="center" wrapText="1"/>
    </xf>
    <xf numFmtId="229" fontId="224" fillId="0" borderId="3" xfId="1" applyNumberFormat="1" applyFont="1" applyFill="1" applyBorder="1" applyAlignment="1">
      <alignment horizontal="center" vertical="center" wrapText="1"/>
    </xf>
    <xf numFmtId="170" fontId="86" fillId="0" borderId="96" xfId="1" applyNumberFormat="1" applyFont="1" applyFill="1" applyBorder="1" applyAlignment="1">
      <alignment horizontal="right" vertical="center" wrapText="1"/>
    </xf>
    <xf numFmtId="170" fontId="86" fillId="0" borderId="96" xfId="2271" applyNumberFormat="1" applyFont="1" applyFill="1" applyBorder="1" applyAlignment="1">
      <alignment vertical="center" wrapText="1"/>
    </xf>
    <xf numFmtId="275" fontId="11" fillId="0" borderId="0" xfId="0" applyNumberFormat="1" applyFont="1"/>
    <xf numFmtId="3" fontId="116" fillId="0" borderId="0" xfId="0" applyNumberFormat="1" applyFont="1"/>
    <xf numFmtId="0" fontId="239" fillId="0" borderId="0" xfId="0" applyFont="1" applyAlignment="1">
      <alignment vertical="center"/>
    </xf>
    <xf numFmtId="0" fontId="240" fillId="0" borderId="0" xfId="0" applyFont="1" applyAlignment="1">
      <alignment vertical="center"/>
    </xf>
    <xf numFmtId="0" fontId="19" fillId="0" borderId="0" xfId="0" applyFont="1" applyAlignment="1">
      <alignment vertical="center"/>
    </xf>
    <xf numFmtId="0" fontId="241" fillId="0" borderId="0" xfId="0" applyFont="1" applyAlignment="1">
      <alignment horizontal="center" vertical="center" wrapText="1"/>
    </xf>
    <xf numFmtId="0" fontId="19" fillId="0" borderId="0" xfId="0" applyFont="1" applyAlignment="1">
      <alignment horizontal="left" vertical="center"/>
    </xf>
    <xf numFmtId="0" fontId="240" fillId="0" borderId="0" xfId="0" applyFont="1" applyAlignment="1">
      <alignment horizontal="left" vertical="center"/>
    </xf>
    <xf numFmtId="0" fontId="241" fillId="0" borderId="1" xfId="0" applyFont="1" applyBorder="1" applyAlignment="1">
      <alignment horizontal="center" vertical="center" wrapText="1"/>
    </xf>
    <xf numFmtId="0" fontId="241" fillId="0" borderId="17" xfId="0" applyFont="1" applyBorder="1" applyAlignment="1">
      <alignment horizontal="center" vertical="center" wrapText="1"/>
    </xf>
    <xf numFmtId="0" fontId="241" fillId="0" borderId="17" xfId="0" applyFont="1" applyBorder="1" applyAlignment="1">
      <alignment vertical="center" wrapText="1"/>
    </xf>
    <xf numFmtId="3" fontId="241" fillId="0" borderId="17" xfId="0" applyNumberFormat="1" applyFont="1" applyBorder="1" applyAlignment="1">
      <alignment horizontal="right" vertical="center" wrapText="1"/>
    </xf>
    <xf numFmtId="0" fontId="19" fillId="0" borderId="0" xfId="0" applyFont="1" applyAlignment="1">
      <alignment vertical="center" wrapText="1"/>
    </xf>
    <xf numFmtId="3" fontId="19" fillId="0" borderId="0" xfId="0" applyNumberFormat="1" applyFont="1" applyAlignment="1">
      <alignment vertical="center"/>
    </xf>
    <xf numFmtId="0" fontId="241" fillId="0" borderId="67" xfId="0" applyFont="1" applyBorder="1" applyAlignment="1">
      <alignment horizontal="center" vertical="center" wrapText="1"/>
    </xf>
    <xf numFmtId="0" fontId="241" fillId="0" borderId="67" xfId="0" applyFont="1" applyBorder="1" applyAlignment="1">
      <alignment vertical="center" wrapText="1"/>
    </xf>
    <xf numFmtId="3" fontId="241" fillId="0" borderId="67" xfId="0" applyNumberFormat="1" applyFont="1" applyBorder="1" applyAlignment="1">
      <alignment horizontal="right" vertical="center" wrapText="1"/>
    </xf>
    <xf numFmtId="3" fontId="240" fillId="0" borderId="0" xfId="0" applyNumberFormat="1" applyFont="1" applyAlignment="1">
      <alignment vertical="center"/>
    </xf>
    <xf numFmtId="0" fontId="234" fillId="0" borderId="67" xfId="0" applyFont="1" applyBorder="1" applyAlignment="1">
      <alignment horizontal="center" vertical="center" wrapText="1"/>
    </xf>
    <xf numFmtId="0" fontId="234" fillId="0" borderId="67" xfId="0" applyFont="1" applyBorder="1" applyAlignment="1">
      <alignment vertical="center" wrapText="1"/>
    </xf>
    <xf numFmtId="3" fontId="234" fillId="0" borderId="67" xfId="0" applyNumberFormat="1" applyFont="1" applyBorder="1" applyAlignment="1">
      <alignment horizontal="right" vertical="center" wrapText="1"/>
    </xf>
    <xf numFmtId="0" fontId="244" fillId="0" borderId="67" xfId="0" applyFont="1" applyBorder="1" applyAlignment="1">
      <alignment vertical="center" wrapText="1"/>
    </xf>
    <xf numFmtId="3" fontId="234" fillId="0" borderId="81" xfId="0" applyNumberFormat="1" applyFont="1" applyBorder="1" applyAlignment="1">
      <alignment horizontal="right" vertical="center" wrapText="1"/>
    </xf>
    <xf numFmtId="3" fontId="234" fillId="0" borderId="82" xfId="0" applyNumberFormat="1" applyFont="1" applyBorder="1" applyAlignment="1">
      <alignment horizontal="right" vertical="center" wrapText="1"/>
    </xf>
    <xf numFmtId="3" fontId="17" fillId="0" borderId="67" xfId="0" applyNumberFormat="1" applyFont="1" applyBorder="1" applyAlignment="1">
      <alignment horizontal="right" vertical="center" wrapText="1"/>
    </xf>
    <xf numFmtId="3" fontId="17" fillId="0" borderId="81" xfId="0" applyNumberFormat="1" applyFont="1" applyBorder="1" applyAlignment="1">
      <alignment horizontal="right" vertical="center" wrapText="1"/>
    </xf>
    <xf numFmtId="0" fontId="234" fillId="0" borderId="87" xfId="0" applyFont="1" applyBorder="1" applyAlignment="1">
      <alignment horizontal="center" vertical="center" wrapText="1"/>
    </xf>
    <xf numFmtId="0" fontId="234" fillId="0" borderId="87" xfId="0" applyFont="1" applyBorder="1" applyAlignment="1">
      <alignment vertical="center" wrapText="1"/>
    </xf>
    <xf numFmtId="3" fontId="234" fillId="0" borderId="87" xfId="0" applyNumberFormat="1" applyFont="1" applyBorder="1" applyAlignment="1">
      <alignment horizontal="right" vertical="center" wrapText="1"/>
    </xf>
    <xf numFmtId="0" fontId="241" fillId="0" borderId="93" xfId="0" applyFont="1" applyBorder="1" applyAlignment="1">
      <alignment horizontal="center" vertical="center" wrapText="1"/>
    </xf>
    <xf numFmtId="0" fontId="241" fillId="0" borderId="93" xfId="0" applyFont="1" applyBorder="1" applyAlignment="1">
      <alignment vertical="center" wrapText="1"/>
    </xf>
    <xf numFmtId="3" fontId="241" fillId="0" borderId="93" xfId="0" applyNumberFormat="1" applyFont="1" applyBorder="1" applyAlignment="1">
      <alignment horizontal="right" vertical="center" wrapText="1"/>
    </xf>
    <xf numFmtId="170" fontId="19" fillId="0" borderId="0" xfId="0" applyNumberFormat="1" applyFont="1" applyAlignment="1">
      <alignment vertical="center"/>
    </xf>
    <xf numFmtId="0" fontId="234" fillId="0" borderId="93" xfId="1004" applyFont="1" applyBorder="1" applyAlignment="1">
      <alignment vertical="center" wrapText="1"/>
    </xf>
    <xf numFmtId="0" fontId="116" fillId="0" borderId="0" xfId="0" applyFont="1" applyAlignment="1">
      <alignment vertical="center"/>
    </xf>
    <xf numFmtId="3" fontId="234" fillId="0" borderId="93" xfId="1004" applyNumberFormat="1" applyFont="1" applyBorder="1" applyAlignment="1">
      <alignment vertical="center" wrapText="1"/>
    </xf>
    <xf numFmtId="0" fontId="234" fillId="0" borderId="93" xfId="1500" applyFont="1" applyBorder="1" applyAlignment="1">
      <alignment vertical="center" wrapText="1"/>
    </xf>
    <xf numFmtId="3" fontId="234" fillId="0" borderId="93" xfId="1468" applyNumberFormat="1" applyFont="1" applyBorder="1" applyAlignment="1">
      <alignment vertical="center" wrapText="1"/>
    </xf>
    <xf numFmtId="0" fontId="16" fillId="0" borderId="93" xfId="0" applyFont="1" applyBorder="1" applyAlignment="1">
      <alignment vertical="center" wrapText="1"/>
    </xf>
    <xf numFmtId="0" fontId="17" fillId="0" borderId="67" xfId="0" applyFont="1" applyBorder="1" applyAlignment="1">
      <alignment horizontal="center" vertical="center" wrapText="1"/>
    </xf>
    <xf numFmtId="0" fontId="17" fillId="0" borderId="67" xfId="0" applyFont="1" applyBorder="1" applyAlignment="1">
      <alignment vertical="center" wrapText="1"/>
    </xf>
    <xf numFmtId="0" fontId="16" fillId="0" borderId="67" xfId="0" applyFont="1" applyBorder="1" applyAlignment="1">
      <alignment horizontal="center" vertical="center" wrapText="1"/>
    </xf>
    <xf numFmtId="0" fontId="16" fillId="0" borderId="67" xfId="0" applyFont="1" applyBorder="1" applyAlignment="1">
      <alignment vertical="center" wrapText="1"/>
    </xf>
    <xf numFmtId="3" fontId="16" fillId="0" borderId="67" xfId="0" applyNumberFormat="1" applyFont="1" applyBorder="1" applyAlignment="1">
      <alignment horizontal="right" vertical="center" wrapText="1"/>
    </xf>
    <xf numFmtId="0" fontId="241" fillId="0" borderId="68" xfId="0" applyFont="1" applyBorder="1" applyAlignment="1">
      <alignment horizontal="center" vertical="center" wrapText="1"/>
    </xf>
    <xf numFmtId="0" fontId="241" fillId="0" borderId="68" xfId="0" applyFont="1" applyBorder="1" applyAlignment="1">
      <alignment vertical="center" wrapText="1"/>
    </xf>
    <xf numFmtId="3" fontId="241" fillId="0" borderId="68" xfId="0" applyNumberFormat="1" applyFont="1" applyBorder="1" applyAlignment="1">
      <alignment horizontal="right" vertical="center" wrapText="1"/>
    </xf>
    <xf numFmtId="0" fontId="17" fillId="0" borderId="13" xfId="0" applyFont="1" applyBorder="1" applyAlignment="1">
      <alignment vertical="center" wrapText="1"/>
    </xf>
    <xf numFmtId="0" fontId="116" fillId="0" borderId="0" xfId="0" applyFont="1" applyAlignment="1">
      <alignment horizontal="center" vertical="center"/>
    </xf>
    <xf numFmtId="0" fontId="17" fillId="0" borderId="1" xfId="0" quotePrefix="1" applyFont="1" applyBorder="1" applyAlignment="1">
      <alignment horizontal="center" vertical="center" wrapText="1"/>
    </xf>
    <xf numFmtId="172" fontId="17" fillId="0" borderId="17" xfId="1" applyNumberFormat="1" applyFont="1" applyFill="1" applyBorder="1" applyAlignment="1">
      <alignment vertical="center" wrapText="1"/>
    </xf>
    <xf numFmtId="1" fontId="19" fillId="0" borderId="0" xfId="0" applyNumberFormat="1" applyFont="1" applyAlignment="1">
      <alignment vertical="center"/>
    </xf>
    <xf numFmtId="0" fontId="17" fillId="0" borderId="13" xfId="0" applyFont="1" applyBorder="1" applyAlignment="1">
      <alignment horizontal="center" vertical="center" wrapText="1"/>
    </xf>
    <xf numFmtId="3" fontId="17" fillId="0" borderId="13" xfId="0" applyNumberFormat="1" applyFont="1" applyBorder="1" applyAlignment="1">
      <alignment vertical="center" wrapText="1"/>
    </xf>
    <xf numFmtId="172" fontId="17" fillId="0" borderId="13" xfId="1" applyNumberFormat="1" applyFont="1" applyFill="1" applyBorder="1" applyAlignment="1">
      <alignment vertical="center" wrapText="1"/>
    </xf>
    <xf numFmtId="3" fontId="16" fillId="0" borderId="81" xfId="0" applyNumberFormat="1" applyFont="1" applyBorder="1" applyAlignment="1">
      <alignment vertical="center" wrapText="1"/>
    </xf>
    <xf numFmtId="3" fontId="16" fillId="0" borderId="13" xfId="0" applyNumberFormat="1" applyFont="1" applyBorder="1" applyAlignment="1">
      <alignment vertical="center" wrapText="1"/>
    </xf>
    <xf numFmtId="172" fontId="16" fillId="0" borderId="13" xfId="1" applyNumberFormat="1" applyFont="1" applyFill="1" applyBorder="1" applyAlignment="1">
      <alignment vertical="center" wrapText="1"/>
    </xf>
    <xf numFmtId="170" fontId="16" fillId="0" borderId="81" xfId="1" applyNumberFormat="1" applyFont="1" applyFill="1" applyBorder="1" applyAlignment="1">
      <alignment vertical="center" wrapText="1"/>
    </xf>
    <xf numFmtId="0" fontId="16" fillId="0" borderId="66" xfId="0" applyFont="1" applyBorder="1" applyAlignment="1">
      <alignment horizontal="center" vertical="center" wrapText="1"/>
    </xf>
    <xf numFmtId="0" fontId="16" fillId="0" borderId="66" xfId="0" applyFont="1" applyBorder="1" applyAlignment="1">
      <alignment vertical="center" wrapText="1"/>
    </xf>
    <xf numFmtId="3" fontId="16" fillId="0" borderId="66" xfId="0" applyNumberFormat="1" applyFont="1" applyBorder="1" applyAlignment="1">
      <alignment vertical="center" wrapText="1"/>
    </xf>
    <xf numFmtId="0" fontId="17" fillId="0" borderId="66" xfId="0" applyFont="1" applyBorder="1" applyAlignment="1">
      <alignment horizontal="center" vertical="center" wrapText="1"/>
    </xf>
    <xf numFmtId="0" fontId="17" fillId="0" borderId="66" xfId="0" applyFont="1" applyBorder="1" applyAlignment="1">
      <alignment vertical="center" wrapText="1"/>
    </xf>
    <xf numFmtId="3" fontId="17" fillId="0" borderId="66" xfId="0" applyNumberFormat="1" applyFont="1" applyBorder="1" applyAlignment="1">
      <alignment vertical="center" wrapText="1"/>
    </xf>
    <xf numFmtId="3" fontId="17" fillId="0" borderId="81" xfId="0" applyNumberFormat="1" applyFont="1" applyBorder="1" applyAlignment="1">
      <alignment vertical="center" wrapText="1"/>
    </xf>
    <xf numFmtId="3" fontId="17" fillId="0" borderId="67" xfId="0" applyNumberFormat="1" applyFont="1" applyBorder="1" applyAlignment="1">
      <alignment vertical="center" wrapText="1"/>
    </xf>
    <xf numFmtId="0" fontId="17" fillId="0" borderId="19" xfId="0" applyFont="1" applyBorder="1" applyAlignment="1">
      <alignment horizontal="center" vertical="center" wrapText="1"/>
    </xf>
    <xf numFmtId="0" fontId="17" fillId="0" borderId="19" xfId="0" applyFont="1" applyBorder="1" applyAlignment="1">
      <alignment vertical="center" wrapText="1"/>
    </xf>
    <xf numFmtId="3" fontId="17" fillId="0" borderId="19" xfId="0" applyNumberFormat="1" applyFont="1" applyBorder="1" applyAlignment="1">
      <alignment vertical="center" wrapText="1"/>
    </xf>
    <xf numFmtId="172" fontId="17" fillId="0" borderId="19" xfId="1" applyNumberFormat="1" applyFont="1" applyFill="1" applyBorder="1" applyAlignment="1">
      <alignment vertical="center" wrapText="1"/>
    </xf>
    <xf numFmtId="0" fontId="19" fillId="0" borderId="0" xfId="0" applyFont="1" applyAlignment="1">
      <alignment horizontal="center" vertical="center"/>
    </xf>
    <xf numFmtId="0" fontId="17" fillId="0" borderId="82" xfId="0" applyFont="1" applyBorder="1" applyAlignment="1">
      <alignment horizontal="center" vertical="center" wrapText="1"/>
    </xf>
    <xf numFmtId="0" fontId="17" fillId="0" borderId="82" xfId="0" applyFont="1" applyBorder="1" applyAlignment="1">
      <alignment vertical="center" wrapText="1"/>
    </xf>
    <xf numFmtId="3" fontId="17" fillId="0" borderId="82" xfId="0" applyNumberFormat="1" applyFont="1" applyBorder="1" applyAlignment="1">
      <alignment horizontal="right" vertical="center" wrapText="1"/>
    </xf>
    <xf numFmtId="3" fontId="17" fillId="0" borderId="82" xfId="0" applyNumberFormat="1" applyFont="1" applyBorder="1" applyAlignment="1">
      <alignment vertical="center" wrapText="1"/>
    </xf>
    <xf numFmtId="0" fontId="241" fillId="0" borderId="82" xfId="0" applyFont="1" applyBorder="1" applyAlignment="1">
      <alignment horizontal="center" vertical="center" wrapText="1"/>
    </xf>
    <xf numFmtId="0" fontId="241" fillId="0" borderId="82" xfId="0" applyFont="1" applyBorder="1" applyAlignment="1">
      <alignment vertical="center" wrapText="1"/>
    </xf>
    <xf numFmtId="0" fontId="234" fillId="0" borderId="82" xfId="0" applyFont="1" applyBorder="1" applyAlignment="1">
      <alignment horizontal="center" vertical="center" wrapText="1"/>
    </xf>
    <xf numFmtId="0" fontId="234" fillId="0" borderId="82" xfId="0" applyFont="1" applyBorder="1" applyAlignment="1">
      <alignment vertical="center" wrapText="1"/>
    </xf>
    <xf numFmtId="3" fontId="16" fillId="0" borderId="82" xfId="0" applyNumberFormat="1" applyFont="1" applyBorder="1" applyAlignment="1">
      <alignment horizontal="right" vertical="center" wrapText="1"/>
    </xf>
    <xf numFmtId="3" fontId="16" fillId="0" borderId="82" xfId="0" applyNumberFormat="1" applyFont="1" applyBorder="1" applyAlignment="1">
      <alignment vertical="center" wrapText="1"/>
    </xf>
    <xf numFmtId="170" fontId="16" fillId="0" borderId="82" xfId="0" applyNumberFormat="1" applyFont="1" applyBorder="1" applyAlignment="1">
      <alignment horizontal="center" vertical="center" wrapText="1"/>
    </xf>
    <xf numFmtId="0" fontId="220" fillId="0" borderId="82" xfId="0" applyFont="1" applyBorder="1" applyAlignment="1">
      <alignment horizontal="center" vertical="center" wrapText="1"/>
    </xf>
    <xf numFmtId="0" fontId="220" fillId="0" borderId="82" xfId="0" applyFont="1" applyBorder="1" applyAlignment="1">
      <alignment vertical="center" wrapText="1"/>
    </xf>
    <xf numFmtId="3" fontId="220" fillId="0" borderId="82" xfId="0" applyNumberFormat="1" applyFont="1" applyBorder="1" applyAlignment="1">
      <alignment horizontal="right" vertical="center" wrapText="1"/>
    </xf>
    <xf numFmtId="3" fontId="220" fillId="0" borderId="82" xfId="0" applyNumberFormat="1" applyFont="1" applyBorder="1" applyAlignment="1">
      <alignment vertical="center" wrapText="1"/>
    </xf>
    <xf numFmtId="3" fontId="20" fillId="0" borderId="0" xfId="0" applyNumberFormat="1" applyFont="1" applyAlignment="1">
      <alignment vertical="center"/>
    </xf>
    <xf numFmtId="0" fontId="20" fillId="0" borderId="0" xfId="0" applyFont="1" applyAlignment="1">
      <alignment vertical="center"/>
    </xf>
    <xf numFmtId="170" fontId="220" fillId="0" borderId="82" xfId="0" applyNumberFormat="1" applyFont="1" applyBorder="1" applyAlignment="1">
      <alignment horizontal="center" vertical="center" wrapText="1"/>
    </xf>
    <xf numFmtId="0" fontId="16" fillId="0" borderId="82" xfId="0" applyFont="1" applyBorder="1" applyAlignment="1">
      <alignment horizontal="center" vertical="center" wrapText="1"/>
    </xf>
    <xf numFmtId="170" fontId="17" fillId="0" borderId="82" xfId="0" applyNumberFormat="1" applyFont="1" applyBorder="1" applyAlignment="1">
      <alignment horizontal="center" vertical="center" wrapText="1"/>
    </xf>
    <xf numFmtId="3" fontId="17" fillId="0" borderId="93" xfId="0" applyNumberFormat="1" applyFont="1" applyBorder="1" applyAlignment="1">
      <alignment horizontal="right" vertical="center" wrapText="1"/>
    </xf>
    <xf numFmtId="0" fontId="16" fillId="0" borderId="93" xfId="0" applyFont="1" applyBorder="1" applyAlignment="1">
      <alignment horizontal="center" vertical="center" wrapText="1"/>
    </xf>
    <xf numFmtId="0" fontId="16" fillId="0" borderId="93" xfId="1004" applyFont="1" applyBorder="1" applyAlignment="1">
      <alignment vertical="center" wrapText="1"/>
    </xf>
    <xf numFmtId="3" fontId="16" fillId="0" borderId="93" xfId="0" applyNumberFormat="1" applyFont="1" applyBorder="1" applyAlignment="1">
      <alignment horizontal="right" vertical="center" wrapText="1"/>
    </xf>
    <xf numFmtId="3" fontId="16" fillId="0" borderId="93" xfId="1004" applyNumberFormat="1" applyFont="1" applyBorder="1" applyAlignment="1">
      <alignment vertical="center" wrapText="1"/>
    </xf>
    <xf numFmtId="0" fontId="16" fillId="0" borderId="93" xfId="1500" applyFont="1" applyBorder="1" applyAlignment="1">
      <alignment vertical="center" wrapText="1"/>
    </xf>
    <xf numFmtId="3" fontId="16" fillId="0" borderId="93" xfId="1468" applyNumberFormat="1" applyFont="1" applyBorder="1" applyAlignment="1">
      <alignment vertical="center" wrapText="1"/>
    </xf>
    <xf numFmtId="0" fontId="17" fillId="0" borderId="83" xfId="0" applyFont="1" applyBorder="1" applyAlignment="1">
      <alignment horizontal="center" vertical="center" wrapText="1"/>
    </xf>
    <xf numFmtId="0" fontId="17" fillId="0" borderId="83" xfId="0" applyFont="1" applyBorder="1" applyAlignment="1">
      <alignment vertical="center" wrapText="1"/>
    </xf>
    <xf numFmtId="3" fontId="17" fillId="0" borderId="83" xfId="0" applyNumberFormat="1" applyFont="1" applyBorder="1" applyAlignment="1">
      <alignment horizontal="right" vertical="center" wrapText="1"/>
    </xf>
    <xf numFmtId="3" fontId="220" fillId="0" borderId="93" xfId="1" applyNumberFormat="1" applyFont="1" applyFill="1" applyBorder="1" applyAlignment="1">
      <alignment horizontal="right" vertical="center" wrapText="1"/>
    </xf>
    <xf numFmtId="0" fontId="16" fillId="0" borderId="82" xfId="0" applyFont="1" applyBorder="1" applyAlignment="1">
      <alignment vertical="center" wrapText="1"/>
    </xf>
    <xf numFmtId="0" fontId="16" fillId="0" borderId="87" xfId="0" applyFont="1" applyBorder="1" applyAlignment="1">
      <alignment vertical="center" wrapText="1"/>
    </xf>
    <xf numFmtId="3" fontId="16" fillId="0" borderId="87" xfId="0" applyNumberFormat="1" applyFont="1" applyBorder="1" applyAlignment="1">
      <alignment horizontal="right" vertical="center" wrapText="1"/>
    </xf>
    <xf numFmtId="172" fontId="16" fillId="0" borderId="87" xfId="1" applyNumberFormat="1" applyFont="1" applyFill="1" applyBorder="1" applyAlignment="1">
      <alignment horizontal="center" vertical="center" wrapText="1"/>
    </xf>
    <xf numFmtId="0" fontId="231" fillId="0" borderId="3" xfId="0" applyFont="1" applyBorder="1" applyAlignment="1">
      <alignment horizontal="center" vertical="center" wrapText="1"/>
    </xf>
    <xf numFmtId="0" fontId="231" fillId="0" borderId="4" xfId="0" applyFont="1" applyBorder="1" applyAlignment="1">
      <alignment horizontal="center" vertical="center" wrapText="1"/>
    </xf>
    <xf numFmtId="229" fontId="224" fillId="0" borderId="3" xfId="0" applyNumberFormat="1" applyFont="1" applyBorder="1" applyAlignment="1">
      <alignment horizontal="center" vertical="center" wrapText="1"/>
    </xf>
    <xf numFmtId="304" fontId="231" fillId="0" borderId="3" xfId="0" applyNumberFormat="1" applyFont="1" applyBorder="1" applyAlignment="1">
      <alignment horizontal="center" vertical="center" wrapText="1"/>
    </xf>
    <xf numFmtId="303" fontId="224" fillId="0" borderId="3" xfId="0" applyNumberFormat="1" applyFont="1" applyBorder="1" applyAlignment="1">
      <alignment horizontal="center" vertical="center" wrapText="1"/>
    </xf>
    <xf numFmtId="0" fontId="86" fillId="0" borderId="96" xfId="4" applyFont="1" applyBorder="1" applyAlignment="1">
      <alignment vertical="center" wrapText="1"/>
    </xf>
    <xf numFmtId="0" fontId="86" fillId="0" borderId="96" xfId="0" applyFont="1" applyBorder="1" applyAlignment="1" applyProtection="1">
      <alignment horizontal="left" vertical="center" wrapText="1"/>
      <protection locked="0"/>
    </xf>
    <xf numFmtId="3" fontId="86" fillId="0" borderId="96" xfId="1004" applyNumberFormat="1" applyFont="1" applyBorder="1" applyAlignment="1">
      <alignment vertical="center" wrapText="1"/>
    </xf>
    <xf numFmtId="0" fontId="86" fillId="0" borderId="96" xfId="1004" applyFont="1" applyBorder="1" applyAlignment="1">
      <alignment vertical="center" wrapText="1"/>
    </xf>
    <xf numFmtId="0" fontId="86" fillId="0" borderId="96" xfId="0" applyFont="1" applyBorder="1" applyAlignment="1">
      <alignment horizontal="left" vertical="center" wrapText="1"/>
    </xf>
    <xf numFmtId="3" fontId="229" fillId="0" borderId="96" xfId="1004" applyNumberFormat="1" applyFont="1" applyBorder="1" applyAlignment="1">
      <alignment horizontal="left" vertical="center" wrapText="1"/>
    </xf>
    <xf numFmtId="0" fontId="229" fillId="0" borderId="96" xfId="0" applyFont="1" applyBorder="1" applyAlignment="1">
      <alignment horizontal="center" vertical="center" wrapText="1"/>
    </xf>
    <xf numFmtId="0" fontId="229" fillId="0" borderId="96" xfId="0" applyFont="1" applyBorder="1" applyAlignment="1">
      <alignment vertical="center" wrapText="1"/>
    </xf>
    <xf numFmtId="0" fontId="229" fillId="0" borderId="97" xfId="0" applyFont="1" applyBorder="1" applyAlignment="1">
      <alignment horizontal="center" vertical="center" wrapText="1"/>
    </xf>
    <xf numFmtId="0" fontId="229" fillId="0" borderId="97" xfId="0" applyFont="1" applyBorder="1" applyAlignment="1">
      <alignment vertical="center" wrapText="1"/>
    </xf>
    <xf numFmtId="0" fontId="229" fillId="0" borderId="98" xfId="0" applyFont="1" applyBorder="1" applyAlignment="1">
      <alignment horizontal="center" vertical="center" wrapText="1"/>
    </xf>
    <xf numFmtId="0" fontId="229" fillId="0" borderId="98" xfId="0" applyFont="1" applyBorder="1" applyAlignment="1">
      <alignment vertical="center" wrapText="1"/>
    </xf>
    <xf numFmtId="209" fontId="17" fillId="0" borderId="17" xfId="0" applyNumberFormat="1" applyFont="1" applyBorder="1" applyAlignment="1">
      <alignment horizontal="right" vertical="center" wrapText="1"/>
    </xf>
    <xf numFmtId="0" fontId="16" fillId="0" borderId="82" xfId="0" applyFont="1" applyBorder="1" applyAlignment="1">
      <alignment horizontal="right" vertical="center" wrapText="1"/>
    </xf>
    <xf numFmtId="1" fontId="16" fillId="0" borderId="82" xfId="0" applyNumberFormat="1" applyFont="1" applyBorder="1" applyAlignment="1">
      <alignment horizontal="right" vertical="center" wrapText="1"/>
    </xf>
    <xf numFmtId="3" fontId="16" fillId="0" borderId="88" xfId="0" applyNumberFormat="1" applyFont="1" applyBorder="1" applyAlignment="1">
      <alignment horizontal="right" vertical="center" wrapText="1"/>
    </xf>
    <xf numFmtId="0" fontId="16" fillId="0" borderId="88" xfId="0" applyFont="1" applyBorder="1" applyAlignment="1">
      <alignment horizontal="right" vertical="center" wrapText="1"/>
    </xf>
    <xf numFmtId="0" fontId="20" fillId="0" borderId="0" xfId="0" applyFont="1" applyAlignment="1">
      <alignment horizontal="center" vertical="center"/>
    </xf>
    <xf numFmtId="3" fontId="20" fillId="0" borderId="0" xfId="0" applyNumberFormat="1" applyFont="1" applyAlignment="1">
      <alignment horizontal="center" vertical="center"/>
    </xf>
    <xf numFmtId="3" fontId="19" fillId="0" borderId="0" xfId="0" applyNumberFormat="1" applyFont="1" applyAlignment="1">
      <alignment horizontal="center" vertical="center"/>
    </xf>
    <xf numFmtId="3" fontId="116" fillId="0" borderId="0" xfId="0" applyNumberFormat="1" applyFont="1" applyAlignment="1">
      <alignment vertical="center"/>
    </xf>
    <xf numFmtId="0" fontId="16" fillId="0" borderId="83" xfId="0" applyFont="1" applyBorder="1" applyAlignment="1">
      <alignment horizontal="center" vertical="center" wrapText="1"/>
    </xf>
    <xf numFmtId="0" fontId="16" fillId="0" borderId="83" xfId="0" applyFont="1" applyBorder="1" applyAlignment="1">
      <alignment vertical="center" wrapText="1"/>
    </xf>
    <xf numFmtId="173" fontId="16" fillId="0" borderId="88" xfId="0" applyNumberFormat="1" applyFont="1" applyBorder="1" applyAlignment="1">
      <alignment horizontal="right" vertical="center" wrapText="1"/>
    </xf>
    <xf numFmtId="173" fontId="16" fillId="0" borderId="88" xfId="5" applyNumberFormat="1" applyFont="1" applyFill="1" applyBorder="1" applyAlignment="1">
      <alignment horizontal="right" vertical="center" wrapText="1"/>
    </xf>
    <xf numFmtId="1" fontId="16" fillId="0" borderId="88" xfId="0" applyNumberFormat="1" applyFont="1" applyBorder="1" applyAlignment="1">
      <alignment horizontal="right" vertical="center" wrapText="1"/>
    </xf>
    <xf numFmtId="0" fontId="238" fillId="0" borderId="0" xfId="0" applyFont="1" applyAlignment="1">
      <alignment vertical="center"/>
    </xf>
    <xf numFmtId="0" fontId="220" fillId="0" borderId="0" xfId="0" applyFont="1" applyAlignment="1">
      <alignment vertical="center"/>
    </xf>
    <xf numFmtId="0" fontId="224" fillId="0" borderId="0" xfId="1487" applyFont="1"/>
    <xf numFmtId="0" fontId="86" fillId="0" borderId="0" xfId="1487" applyFont="1" applyAlignment="1">
      <alignment horizontal="right" vertical="center"/>
    </xf>
    <xf numFmtId="0" fontId="229" fillId="0" borderId="0" xfId="1487" applyFont="1" applyAlignment="1">
      <alignment vertical="center"/>
    </xf>
    <xf numFmtId="0" fontId="223" fillId="0" borderId="0" xfId="1487" applyFont="1"/>
    <xf numFmtId="0" fontId="223" fillId="0" borderId="0" xfId="1487" applyFont="1" applyAlignment="1">
      <alignment vertical="center" wrapText="1"/>
    </xf>
    <xf numFmtId="0" fontId="224" fillId="0" borderId="0" xfId="1487" applyFont="1" applyAlignment="1">
      <alignment horizontal="center" vertical="center" wrapText="1"/>
    </xf>
    <xf numFmtId="0" fontId="224" fillId="0" borderId="0" xfId="1487" applyFont="1" applyAlignment="1">
      <alignment vertical="center" wrapText="1"/>
    </xf>
    <xf numFmtId="0" fontId="86" fillId="0" borderId="0" xfId="1487" applyFont="1"/>
    <xf numFmtId="0" fontId="257" fillId="0" borderId="0" xfId="1447" applyFont="1" applyAlignment="1">
      <alignment horizontal="right"/>
    </xf>
    <xf numFmtId="0" fontId="255" fillId="0" borderId="0" xfId="1447" applyFont="1"/>
    <xf numFmtId="0" fontId="17" fillId="0" borderId="1" xfId="1487" applyFont="1" applyBorder="1" applyAlignment="1">
      <alignment horizontal="center" vertical="center" wrapText="1"/>
    </xf>
    <xf numFmtId="0" fontId="223" fillId="0" borderId="0" xfId="1487" applyFont="1" applyAlignment="1">
      <alignment horizontal="center" vertical="center" wrapText="1"/>
    </xf>
    <xf numFmtId="0" fontId="17" fillId="0" borderId="0" xfId="1487" applyFont="1" applyAlignment="1">
      <alignment horizontal="center" vertical="center" wrapText="1"/>
    </xf>
    <xf numFmtId="0" fontId="17" fillId="0" borderId="17" xfId="1487" applyFont="1" applyBorder="1" applyAlignment="1">
      <alignment horizontal="right" vertical="center" wrapText="1"/>
    </xf>
    <xf numFmtId="3" fontId="17" fillId="0" borderId="17" xfId="1487" applyNumberFormat="1" applyFont="1" applyBorder="1" applyAlignment="1">
      <alignment horizontal="left" vertical="center"/>
    </xf>
    <xf numFmtId="3" fontId="17" fillId="0" borderId="17" xfId="1487" applyNumberFormat="1" applyFont="1" applyBorder="1" applyAlignment="1">
      <alignment horizontal="right" vertical="center"/>
    </xf>
    <xf numFmtId="3" fontId="17" fillId="0" borderId="0" xfId="1487" applyNumberFormat="1" applyFont="1" applyAlignment="1">
      <alignment horizontal="center" vertical="center" wrapText="1"/>
    </xf>
    <xf numFmtId="0" fontId="16" fillId="0" borderId="100" xfId="1487" applyFont="1" applyBorder="1" applyAlignment="1">
      <alignment horizontal="center" vertical="center"/>
    </xf>
    <xf numFmtId="0" fontId="16" fillId="0" borderId="100" xfId="0" applyFont="1" applyBorder="1" applyAlignment="1">
      <alignment horizontal="left" vertical="center"/>
    </xf>
    <xf numFmtId="3" fontId="16" fillId="0" borderId="100" xfId="1487" applyNumberFormat="1" applyFont="1" applyBorder="1" applyAlignment="1">
      <alignment horizontal="right" vertical="center"/>
    </xf>
    <xf numFmtId="3" fontId="229" fillId="0" borderId="0" xfId="1487" applyNumberFormat="1" applyFont="1" applyAlignment="1">
      <alignment vertical="center"/>
    </xf>
    <xf numFmtId="0" fontId="16" fillId="0" borderId="100" xfId="0" applyFont="1" applyBorder="1" applyAlignment="1">
      <alignment horizontal="left" vertical="center" wrapText="1"/>
    </xf>
    <xf numFmtId="0" fontId="223" fillId="0" borderId="0" xfId="1487" applyFont="1" applyAlignment="1">
      <alignment vertical="center"/>
    </xf>
    <xf numFmtId="0" fontId="116" fillId="0" borderId="0" xfId="1487" applyFont="1" applyAlignment="1">
      <alignment vertical="center"/>
    </xf>
    <xf numFmtId="3" fontId="116" fillId="0" borderId="0" xfId="1487" applyNumberFormat="1" applyFont="1" applyAlignment="1">
      <alignment vertical="center"/>
    </xf>
    <xf numFmtId="3" fontId="16" fillId="0" borderId="100" xfId="1487" applyNumberFormat="1" applyFont="1" applyBorder="1" applyAlignment="1">
      <alignment horizontal="right"/>
    </xf>
    <xf numFmtId="0" fontId="16" fillId="0" borderId="101" xfId="1487" applyFont="1" applyBorder="1" applyAlignment="1">
      <alignment horizontal="center" vertical="center"/>
    </xf>
    <xf numFmtId="0" fontId="16" fillId="0" borderId="101" xfId="0" applyFont="1" applyBorder="1" applyAlignment="1">
      <alignment horizontal="left" vertical="center" wrapText="1"/>
    </xf>
    <xf numFmtId="3" fontId="16" fillId="0" borderId="101" xfId="1487" applyNumberFormat="1" applyFont="1" applyBorder="1" applyAlignment="1">
      <alignment horizontal="right"/>
    </xf>
    <xf numFmtId="3" fontId="16" fillId="0" borderId="101" xfId="1487" applyNumberFormat="1" applyFont="1" applyBorder="1" applyAlignment="1">
      <alignment horizontal="right" vertical="center"/>
    </xf>
    <xf numFmtId="3" fontId="223" fillId="0" borderId="0" xfId="1487" applyNumberFormat="1" applyFont="1"/>
    <xf numFmtId="3" fontId="8" fillId="71" borderId="85" xfId="0" applyNumberFormat="1" applyFont="1" applyFill="1" applyBorder="1" applyAlignment="1">
      <alignment horizontal="right" vertical="center" wrapText="1"/>
    </xf>
    <xf numFmtId="0" fontId="219" fillId="71" borderId="0" xfId="0" applyFont="1" applyFill="1" applyAlignment="1">
      <alignment vertical="center"/>
    </xf>
    <xf numFmtId="0" fontId="11" fillId="71" borderId="0" xfId="0" applyFont="1" applyFill="1" applyAlignment="1">
      <alignment vertical="center"/>
    </xf>
    <xf numFmtId="0" fontId="11" fillId="71" borderId="0" xfId="0" applyFont="1" applyFill="1" applyAlignment="1">
      <alignment vertical="center" wrapText="1"/>
    </xf>
    <xf numFmtId="0" fontId="236" fillId="71" borderId="0" xfId="0" applyFont="1" applyFill="1" applyAlignment="1">
      <alignment vertical="center" wrapText="1"/>
    </xf>
    <xf numFmtId="0" fontId="236" fillId="71" borderId="0" xfId="0" applyFont="1" applyFill="1" applyAlignment="1">
      <alignment vertical="center"/>
    </xf>
    <xf numFmtId="3" fontId="11" fillId="71" borderId="0" xfId="0" applyNumberFormat="1" applyFont="1" applyFill="1" applyAlignment="1">
      <alignment vertical="center"/>
    </xf>
    <xf numFmtId="0" fontId="11" fillId="71" borderId="0" xfId="0" applyFont="1" applyFill="1" applyAlignment="1">
      <alignment horizontal="right" vertical="center"/>
    </xf>
    <xf numFmtId="0" fontId="8" fillId="71" borderId="1" xfId="0" applyFont="1" applyFill="1" applyBorder="1" applyAlignment="1">
      <alignment horizontal="center" vertical="center" wrapText="1"/>
    </xf>
    <xf numFmtId="0" fontId="8" fillId="71" borderId="17" xfId="0" applyFont="1" applyFill="1" applyBorder="1" applyAlignment="1">
      <alignment horizontal="center" vertical="center" wrapText="1"/>
    </xf>
    <xf numFmtId="0" fontId="8" fillId="71" borderId="85" xfId="0" applyFont="1" applyFill="1" applyBorder="1" applyAlignment="1">
      <alignment horizontal="center" vertical="center" wrapText="1"/>
    </xf>
    <xf numFmtId="0" fontId="8" fillId="71" borderId="85" xfId="0" applyFont="1" applyFill="1" applyBorder="1" applyAlignment="1">
      <alignment vertical="center" wrapText="1"/>
    </xf>
    <xf numFmtId="299" fontId="8" fillId="71" borderId="85" xfId="2266" applyNumberFormat="1" applyFont="1" applyFill="1" applyBorder="1" applyAlignment="1">
      <alignment horizontal="center" vertical="center" wrapText="1"/>
    </xf>
    <xf numFmtId="4" fontId="11" fillId="71" borderId="0" xfId="0" applyNumberFormat="1" applyFont="1" applyFill="1" applyAlignment="1">
      <alignment vertical="center"/>
    </xf>
    <xf numFmtId="3" fontId="219" fillId="71" borderId="0" xfId="0" applyNumberFormat="1" applyFont="1" applyFill="1" applyAlignment="1">
      <alignment vertical="center"/>
    </xf>
    <xf numFmtId="1" fontId="219" fillId="71" borderId="0" xfId="0" applyNumberFormat="1" applyFont="1" applyFill="1" applyAlignment="1">
      <alignment vertical="center"/>
    </xf>
    <xf numFmtId="4" fontId="219" fillId="71" borderId="0" xfId="0" applyNumberFormat="1" applyFont="1" applyFill="1" applyAlignment="1">
      <alignment vertical="center"/>
    </xf>
    <xf numFmtId="0" fontId="9" fillId="71" borderId="85" xfId="0" applyFont="1" applyFill="1" applyBorder="1" applyAlignment="1">
      <alignment horizontal="center" vertical="center" wrapText="1"/>
    </xf>
    <xf numFmtId="0" fontId="9" fillId="71" borderId="85" xfId="0" applyFont="1" applyFill="1" applyBorder="1" applyAlignment="1">
      <alignment vertical="center" wrapText="1"/>
    </xf>
    <xf numFmtId="3" fontId="9" fillId="71" borderId="85" xfId="0" applyNumberFormat="1" applyFont="1" applyFill="1" applyBorder="1" applyAlignment="1">
      <alignment horizontal="right" vertical="center" wrapText="1"/>
    </xf>
    <xf numFmtId="299" fontId="9" fillId="71" borderId="85" xfId="2266" applyNumberFormat="1" applyFont="1" applyFill="1" applyBorder="1" applyAlignment="1">
      <alignment horizontal="center" vertical="center" wrapText="1"/>
    </xf>
    <xf numFmtId="0" fontId="9" fillId="71" borderId="85" xfId="0" quotePrefix="1" applyFont="1" applyFill="1" applyBorder="1" applyAlignment="1">
      <alignment horizontal="center" vertical="center" wrapText="1"/>
    </xf>
    <xf numFmtId="0" fontId="10" fillId="71" borderId="85" xfId="0" applyFont="1" applyFill="1" applyBorder="1" applyAlignment="1">
      <alignment horizontal="center" vertical="center" wrapText="1"/>
    </xf>
    <xf numFmtId="0" fontId="10" fillId="71" borderId="85" xfId="0" applyFont="1" applyFill="1" applyBorder="1" applyAlignment="1">
      <alignment vertical="center" wrapText="1"/>
    </xf>
    <xf numFmtId="3" fontId="10" fillId="71" borderId="85" xfId="0" applyNumberFormat="1" applyFont="1" applyFill="1" applyBorder="1" applyAlignment="1">
      <alignment horizontal="right" vertical="center" wrapText="1"/>
    </xf>
    <xf numFmtId="299" fontId="10" fillId="71" borderId="85" xfId="2266" applyNumberFormat="1" applyFont="1" applyFill="1" applyBorder="1" applyAlignment="1">
      <alignment horizontal="center" vertical="center" wrapText="1"/>
    </xf>
    <xf numFmtId="0" fontId="221" fillId="71" borderId="0" xfId="0" applyFont="1" applyFill="1" applyAlignment="1">
      <alignment vertical="center"/>
    </xf>
    <xf numFmtId="3" fontId="8" fillId="71" borderId="85" xfId="0" applyNumberFormat="1" applyFont="1" applyFill="1" applyBorder="1" applyAlignment="1">
      <alignment vertical="center" wrapText="1"/>
    </xf>
    <xf numFmtId="302" fontId="11" fillId="71" borderId="0" xfId="1" applyNumberFormat="1" applyFont="1" applyFill="1" applyAlignment="1">
      <alignment vertical="center"/>
    </xf>
    <xf numFmtId="170" fontId="11" fillId="71" borderId="0" xfId="0" applyNumberFormat="1" applyFont="1" applyFill="1" applyAlignment="1">
      <alignment vertical="center"/>
    </xf>
    <xf numFmtId="0" fontId="10" fillId="71" borderId="85" xfId="0" quotePrefix="1" applyFont="1" applyFill="1" applyBorder="1" applyAlignment="1">
      <alignment horizontal="center" vertical="center" wrapText="1"/>
    </xf>
    <xf numFmtId="3" fontId="221" fillId="71" borderId="0" xfId="0" applyNumberFormat="1" applyFont="1" applyFill="1" applyAlignment="1">
      <alignment vertical="center"/>
    </xf>
    <xf numFmtId="0" fontId="8" fillId="71" borderId="85" xfId="0" quotePrefix="1" applyFont="1" applyFill="1" applyBorder="1" applyAlignment="1">
      <alignment horizontal="center" vertical="center" wrapText="1"/>
    </xf>
    <xf numFmtId="0" fontId="19" fillId="71" borderId="102" xfId="0" applyFont="1" applyFill="1" applyBorder="1" applyAlignment="1">
      <alignment horizontal="center" vertical="center" wrapText="1"/>
    </xf>
    <xf numFmtId="0" fontId="19" fillId="71" borderId="102" xfId="0" applyFont="1" applyFill="1" applyBorder="1" applyAlignment="1">
      <alignment vertical="center" wrapText="1"/>
    </xf>
    <xf numFmtId="3" fontId="9" fillId="71" borderId="102" xfId="0" applyNumberFormat="1" applyFont="1" applyFill="1" applyBorder="1" applyAlignment="1">
      <alignment horizontal="right" vertical="center" wrapText="1"/>
    </xf>
    <xf numFmtId="299" fontId="8" fillId="71" borderId="102" xfId="2266" applyNumberFormat="1" applyFont="1" applyFill="1" applyBorder="1" applyAlignment="1">
      <alignment horizontal="center" vertical="center" wrapText="1"/>
    </xf>
    <xf numFmtId="0" fontId="8" fillId="71" borderId="86" xfId="0" applyFont="1" applyFill="1" applyBorder="1" applyAlignment="1">
      <alignment horizontal="center" vertical="center" wrapText="1"/>
    </xf>
    <xf numFmtId="0" fontId="8" fillId="71" borderId="86" xfId="0" applyFont="1" applyFill="1" applyBorder="1" applyAlignment="1">
      <alignment vertical="center" wrapText="1"/>
    </xf>
    <xf numFmtId="3" fontId="8" fillId="71" borderId="86" xfId="0" applyNumberFormat="1" applyFont="1" applyFill="1" applyBorder="1" applyAlignment="1">
      <alignment horizontal="right" vertical="center" wrapText="1"/>
    </xf>
    <xf numFmtId="299" fontId="8" fillId="71" borderId="86" xfId="2266" applyNumberFormat="1" applyFont="1" applyFill="1" applyBorder="1" applyAlignment="1">
      <alignment horizontal="center" vertical="center" wrapText="1"/>
    </xf>
    <xf numFmtId="0" fontId="12" fillId="71" borderId="0" xfId="0" applyFont="1" applyFill="1" applyAlignment="1">
      <alignment vertical="center"/>
    </xf>
    <xf numFmtId="43" fontId="16" fillId="0" borderId="13" xfId="1" applyFont="1" applyBorder="1" applyAlignment="1">
      <alignment vertical="center" wrapText="1"/>
    </xf>
    <xf numFmtId="3" fontId="16" fillId="0" borderId="102" xfId="0" applyNumberFormat="1" applyFont="1" applyBorder="1" applyAlignment="1">
      <alignment vertical="center" wrapText="1"/>
    </xf>
    <xf numFmtId="168"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8" fontId="6" fillId="0" borderId="3" xfId="0" applyNumberFormat="1" applyFont="1" applyBorder="1" applyAlignment="1">
      <alignment horizontal="center" vertical="center" wrapText="1"/>
    </xf>
    <xf numFmtId="168" fontId="6" fillId="0" borderId="4" xfId="0" applyNumberFormat="1" applyFont="1" applyBorder="1" applyAlignment="1">
      <alignment horizontal="center" vertical="center" wrapText="1"/>
    </xf>
    <xf numFmtId="168" fontId="6" fillId="0" borderId="5"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68" fontId="6" fillId="0" borderId="3" xfId="0" applyNumberFormat="1" applyFont="1" applyBorder="1" applyAlignment="1">
      <alignment horizontal="center" vertical="center"/>
    </xf>
    <xf numFmtId="168" fontId="6" fillId="0" borderId="4" xfId="0" applyNumberFormat="1" applyFont="1" applyBorder="1" applyAlignment="1">
      <alignment horizontal="center" vertical="center"/>
    </xf>
    <xf numFmtId="168" fontId="6" fillId="0" borderId="5" xfId="0" applyNumberFormat="1" applyFont="1" applyBorder="1" applyAlignment="1">
      <alignment horizontal="center" vertical="center"/>
    </xf>
    <xf numFmtId="0" fontId="223" fillId="0" borderId="0" xfId="0" applyFont="1" applyAlignment="1">
      <alignment horizontal="center" vertical="center"/>
    </xf>
    <xf numFmtId="0" fontId="225" fillId="0" borderId="3" xfId="0" applyFont="1" applyBorder="1" applyAlignment="1">
      <alignment horizontal="center" vertical="center" wrapText="1"/>
    </xf>
    <xf numFmtId="0" fontId="225" fillId="0" borderId="4" xfId="0" applyFont="1" applyBorder="1" applyAlignment="1">
      <alignment horizontal="center" vertical="center" wrapText="1"/>
    </xf>
    <xf numFmtId="0" fontId="225" fillId="0" borderId="18" xfId="0" applyFont="1" applyBorder="1" applyAlignment="1">
      <alignment horizontal="center" vertical="center" wrapText="1"/>
    </xf>
    <xf numFmtId="0" fontId="20" fillId="0" borderId="0" xfId="0" applyFont="1" applyAlignment="1">
      <alignment horizontal="left" vertical="center" wrapText="1"/>
    </xf>
    <xf numFmtId="0" fontId="249" fillId="0" borderId="0" xfId="0" applyFont="1" applyAlignment="1">
      <alignment horizontal="center"/>
    </xf>
    <xf numFmtId="0" fontId="17" fillId="0" borderId="0" xfId="0" applyFont="1" applyAlignment="1">
      <alignment horizontal="center"/>
    </xf>
    <xf numFmtId="0" fontId="220" fillId="0" borderId="0" xfId="0" applyFont="1" applyAlignment="1">
      <alignment horizontal="center"/>
    </xf>
    <xf numFmtId="0" fontId="220" fillId="0" borderId="9" xfId="0" applyFont="1" applyBorder="1" applyAlignment="1">
      <alignment horizontal="right"/>
    </xf>
    <xf numFmtId="0" fontId="17" fillId="0" borderId="1" xfId="0" applyFont="1" applyBorder="1" applyAlignment="1">
      <alignment horizontal="center" vertical="center" wrapText="1"/>
    </xf>
    <xf numFmtId="0" fontId="8" fillId="71" borderId="0" xfId="0" applyFont="1" applyFill="1" applyAlignment="1">
      <alignment horizontal="center" vertical="center" wrapText="1"/>
    </xf>
    <xf numFmtId="0" fontId="221" fillId="71" borderId="0" xfId="0" applyFont="1" applyFill="1" applyAlignment="1">
      <alignment horizontal="center" vertical="center" wrapText="1"/>
    </xf>
    <xf numFmtId="0" fontId="10" fillId="71" borderId="9" xfId="0" applyFont="1" applyFill="1" applyBorder="1" applyAlignment="1">
      <alignment horizontal="right" vertical="center"/>
    </xf>
    <xf numFmtId="0" fontId="8" fillId="71" borderId="1" xfId="0" applyFont="1" applyFill="1" applyBorder="1" applyAlignment="1">
      <alignment horizontal="center" vertical="center" wrapText="1"/>
    </xf>
    <xf numFmtId="0" fontId="10" fillId="71" borderId="0" xfId="0" applyFont="1" applyFill="1" applyAlignment="1">
      <alignment horizontal="left" vertical="center" wrapText="1"/>
    </xf>
    <xf numFmtId="0" fontId="220" fillId="0" borderId="0" xfId="0" applyFont="1" applyAlignment="1">
      <alignment horizontal="left" vertical="center" wrapText="1"/>
    </xf>
    <xf numFmtId="0" fontId="243" fillId="0" borderId="0" xfId="0" applyFont="1" applyAlignment="1">
      <alignment horizontal="left" vertical="center" wrapText="1"/>
    </xf>
    <xf numFmtId="0" fontId="239" fillId="0" borderId="0" xfId="0" applyFont="1" applyAlignment="1">
      <alignment horizontal="center" vertical="center"/>
    </xf>
    <xf numFmtId="0" fontId="241" fillId="0" borderId="0" xfId="0" applyFont="1" applyAlignment="1">
      <alignment horizontal="center" vertical="center" wrapText="1"/>
    </xf>
    <xf numFmtId="0" fontId="244" fillId="0" borderId="0" xfId="0" applyFont="1" applyAlignment="1">
      <alignment horizontal="center" vertical="center" wrapText="1"/>
    </xf>
    <xf numFmtId="0" fontId="242" fillId="0" borderId="9" xfId="0" applyFont="1" applyBorder="1" applyAlignment="1">
      <alignment horizontal="right"/>
    </xf>
    <xf numFmtId="0" fontId="220" fillId="0" borderId="0" xfId="0" applyFont="1" applyAlignment="1">
      <alignment vertical="center" wrapText="1"/>
    </xf>
    <xf numFmtId="0" fontId="17" fillId="0" borderId="0" xfId="0" applyFont="1" applyAlignment="1">
      <alignment horizontal="center" vertical="center" wrapText="1"/>
    </xf>
    <xf numFmtId="0" fontId="220" fillId="0" borderId="0" xfId="0" applyFont="1" applyAlignment="1">
      <alignment horizontal="center" vertical="center"/>
    </xf>
    <xf numFmtId="0" fontId="238" fillId="0" borderId="0" xfId="0" applyFont="1" applyAlignment="1">
      <alignment vertical="center" wrapText="1"/>
    </xf>
    <xf numFmtId="0" fontId="238" fillId="0" borderId="0" xfId="0" applyFont="1" applyAlignment="1">
      <alignment horizontal="left" vertical="center" wrapText="1"/>
    </xf>
    <xf numFmtId="0" fontId="247" fillId="0" borderId="9" xfId="0" applyFont="1" applyBorder="1" applyAlignment="1">
      <alignment horizontal="right"/>
    </xf>
    <xf numFmtId="0" fontId="116" fillId="0" borderId="1" xfId="0" applyFont="1" applyBorder="1" applyAlignment="1">
      <alignment horizontal="center" vertical="center" wrapText="1"/>
    </xf>
    <xf numFmtId="0" fontId="230" fillId="0" borderId="1" xfId="0" applyFont="1" applyBorder="1" applyAlignment="1">
      <alignment horizontal="center" vertical="center" wrapText="1"/>
    </xf>
    <xf numFmtId="0" fontId="116" fillId="0" borderId="14" xfId="0" applyFont="1" applyBorder="1" applyAlignment="1">
      <alignment horizontal="center" vertical="center" wrapText="1"/>
    </xf>
    <xf numFmtId="0" fontId="116" fillId="0" borderId="16" xfId="0" applyFont="1" applyBorder="1" applyAlignment="1">
      <alignment horizontal="center" vertical="center" wrapText="1"/>
    </xf>
    <xf numFmtId="0" fontId="116" fillId="0" borderId="0" xfId="0" applyFont="1" applyAlignment="1">
      <alignment horizontal="left"/>
    </xf>
    <xf numFmtId="0" fontId="245" fillId="0" borderId="0" xfId="0" applyFont="1" applyAlignment="1">
      <alignment horizontal="center" vertical="center" wrapText="1"/>
    </xf>
    <xf numFmtId="0" fontId="246" fillId="0" borderId="0" xfId="0" applyFont="1" applyAlignment="1">
      <alignment horizontal="center" vertical="center" wrapText="1"/>
    </xf>
    <xf numFmtId="0" fontId="116" fillId="0" borderId="15" xfId="0" applyFont="1" applyBorder="1" applyAlignment="1">
      <alignment horizontal="center" vertical="center" wrapText="1"/>
    </xf>
    <xf numFmtId="0" fontId="237" fillId="0" borderId="14" xfId="0" applyFont="1" applyBorder="1" applyAlignment="1">
      <alignment horizontal="center" vertical="center" wrapText="1"/>
    </xf>
    <xf numFmtId="0" fontId="237" fillId="0" borderId="16" xfId="0" applyFont="1" applyBorder="1" applyAlignment="1">
      <alignment horizontal="center" vertical="center" wrapText="1"/>
    </xf>
    <xf numFmtId="0" fontId="116" fillId="0" borderId="0" xfId="0" applyFont="1" applyAlignment="1">
      <alignment horizont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20" fillId="0" borderId="0" xfId="0" applyFont="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219" fillId="0" borderId="0" xfId="0" applyFont="1" applyAlignment="1">
      <alignment horizontal="left"/>
    </xf>
    <xf numFmtId="0" fontId="8" fillId="0" borderId="0" xfId="0" applyFont="1" applyAlignment="1">
      <alignment horizontal="center" wrapText="1"/>
    </xf>
    <xf numFmtId="0" fontId="10" fillId="0" borderId="0" xfId="0" applyFont="1" applyAlignment="1">
      <alignment horizontal="center"/>
    </xf>
    <xf numFmtId="0" fontId="233" fillId="0" borderId="9" xfId="0" applyFont="1" applyBorder="1" applyAlignment="1">
      <alignment horizont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217" fillId="0" borderId="1" xfId="0" applyFont="1" applyBorder="1" applyAlignment="1">
      <alignment horizontal="center" vertical="center" wrapText="1"/>
    </xf>
    <xf numFmtId="0" fontId="116" fillId="0" borderId="1" xfId="0" applyFont="1" applyBorder="1" applyAlignment="1">
      <alignment horizontal="center" vertical="center"/>
    </xf>
    <xf numFmtId="0" fontId="2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center" vertical="center"/>
    </xf>
    <xf numFmtId="0" fontId="218" fillId="0" borderId="1" xfId="0" applyFont="1" applyBorder="1" applyAlignment="1">
      <alignment horizontal="center" vertical="center" wrapText="1"/>
    </xf>
    <xf numFmtId="0" fontId="219" fillId="0" borderId="14" xfId="0" applyFont="1" applyBorder="1" applyAlignment="1">
      <alignment horizontal="center" vertical="center" wrapText="1"/>
    </xf>
    <xf numFmtId="0" fontId="219" fillId="0" borderId="15" xfId="0" applyFont="1" applyBorder="1" applyAlignment="1">
      <alignment horizontal="center" vertical="center" wrapText="1"/>
    </xf>
    <xf numFmtId="0" fontId="219" fillId="0" borderId="16" xfId="0" applyFont="1" applyBorder="1" applyAlignment="1">
      <alignment horizontal="center" vertical="center" wrapText="1"/>
    </xf>
    <xf numFmtId="0" fontId="116" fillId="0" borderId="14" xfId="0" applyFont="1" applyBorder="1" applyAlignment="1">
      <alignment horizontal="center" vertical="center"/>
    </xf>
    <xf numFmtId="0" fontId="116" fillId="0" borderId="15" xfId="0" applyFont="1" applyBorder="1" applyAlignment="1">
      <alignment horizontal="center" vertical="center"/>
    </xf>
    <xf numFmtId="0" fontId="116" fillId="0" borderId="16" xfId="0" applyFont="1" applyBorder="1" applyAlignment="1">
      <alignment horizontal="center" vertical="center"/>
    </xf>
    <xf numFmtId="0" fontId="229" fillId="0" borderId="0" xfId="1487" applyFont="1" applyAlignment="1">
      <alignment horizontal="center" vertical="center" wrapText="1"/>
    </xf>
    <xf numFmtId="0" fontId="257" fillId="0" borderId="0" xfId="0" applyFont="1" applyAlignment="1">
      <alignment horizontal="center"/>
    </xf>
    <xf numFmtId="0" fontId="224" fillId="0" borderId="0" xfId="1487" applyFont="1" applyAlignment="1">
      <alignment horizontal="left" vertical="center" wrapText="1"/>
    </xf>
    <xf numFmtId="0" fontId="17" fillId="0" borderId="1" xfId="1487" applyFont="1" applyBorder="1" applyAlignment="1">
      <alignment horizontal="center" vertical="center" wrapText="1"/>
    </xf>
    <xf numFmtId="0" fontId="17" fillId="0" borderId="1" xfId="1487" applyFont="1" applyBorder="1" applyAlignment="1">
      <alignment horizontal="center" vertical="center"/>
    </xf>
    <xf numFmtId="0" fontId="6" fillId="0" borderId="2"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center" vertical="center"/>
    </xf>
    <xf numFmtId="0" fontId="256" fillId="0" borderId="0" xfId="0" applyFont="1" applyAlignment="1">
      <alignment horizontal="center" vertical="center" wrapText="1"/>
    </xf>
    <xf numFmtId="0" fontId="6" fillId="0" borderId="0" xfId="0" applyFont="1" applyAlignment="1">
      <alignment horizontal="left" vertical="center"/>
    </xf>
  </cellXfs>
  <cellStyles count="2380">
    <cellStyle name="_x0001_" xfId="10"/>
    <cellStyle name="          _x000d__x000a_shell=progman.exe_x000d__x000a_m" xfId="11"/>
    <cellStyle name="#,##0" xfId="12"/>
    <cellStyle name="#,##0 2" xfId="13"/>
    <cellStyle name="#,##0 2 2" xfId="14"/>
    <cellStyle name="#,##0 3" xfId="15"/>
    <cellStyle name="#,##0 3 2" xfId="16"/>
    <cellStyle name="#,##0 4" xfId="17"/>
    <cellStyle name="." xfId="18"/>
    <cellStyle name=". 2" xfId="19"/>
    <cellStyle name="._Book1" xfId="20"/>
    <cellStyle name="._VBPL kiểm toán Đầu tư XDCB 2010" xfId="21"/>
    <cellStyle name="._VBPL kiểm toán Đầu tư XDCB 2010 2" xfId="22"/>
    <cellStyle name=".d©y" xfId="23"/>
    <cellStyle name="??" xfId="24"/>
    <cellStyle name="?? [ - ??1" xfId="25"/>
    <cellStyle name="?? [ - ??2" xfId="26"/>
    <cellStyle name="?? [ - ??3" xfId="27"/>
    <cellStyle name="?? [ - ??4" xfId="28"/>
    <cellStyle name="?? [ - ??5" xfId="29"/>
    <cellStyle name="?? [ - ??6" xfId="30"/>
    <cellStyle name="?? [ - ??7" xfId="31"/>
    <cellStyle name="?? [ - ??8" xfId="32"/>
    <cellStyle name="?? [0.00]_        " xfId="33"/>
    <cellStyle name="?? [0]" xfId="34"/>
    <cellStyle name="?_x001d_??%U©÷u&amp;H©÷9_x0008_? s_x000a__x0007__x0001__x0001_" xfId="35"/>
    <cellStyle name="?_x001d_??%U©÷u&amp;H©÷9_x0008_?_x0009_s_x000a__x0007__x0001__x0001_" xfId="36"/>
    <cellStyle name="???? [0.00]_      " xfId="37"/>
    <cellStyle name="??????" xfId="38"/>
    <cellStyle name="??????????????????? [0]_FTC_OFFER" xfId="39"/>
    <cellStyle name="???????????????????_FTC_OFFER" xfId="40"/>
    <cellStyle name="????_      " xfId="41"/>
    <cellStyle name="???[0]_?? DI" xfId="42"/>
    <cellStyle name="???_?? DI" xfId="43"/>
    <cellStyle name="??[0]_BRE" xfId="44"/>
    <cellStyle name="??_      " xfId="45"/>
    <cellStyle name="??A? [0]_laroux_1_¢¬???¢â? " xfId="46"/>
    <cellStyle name="??A?_laroux_1_¢¬???¢â? " xfId="47"/>
    <cellStyle name="?¡±¢¥?_?¨ù??¢´¢¥_¢¬???¢â? " xfId="48"/>
    <cellStyle name="?ðÇ%U?&amp;H?_x0008_?s_x000a__x0007__x0001__x0001_" xfId="49"/>
    <cellStyle name="[0]_Chi phÝ kh¸c_V" xfId="50"/>
    <cellStyle name="_1 TONG HOP - CA NA" xfId="51"/>
    <cellStyle name="_130307 So sanh thuc hien 2012 - du toan 2012 moi (pan khac)" xfId="52"/>
    <cellStyle name="_130313 Mau  bieu bao cao nguon luc cua dia phuong sua" xfId="53"/>
    <cellStyle name="_130818 Tong hop Danh gia thu 2013" xfId="54"/>
    <cellStyle name="_130818 Tong hop Danh gia thu 2013_140921 bu giam thu ND 209" xfId="55"/>
    <cellStyle name="_130818 Tong hop Danh gia thu 2013_140921 bu giam thu ND 209_Phu luc so 5 - sua ngay 04-01" xfId="56"/>
    <cellStyle name="_Bang Chi tieu (2)" xfId="57"/>
    <cellStyle name="_BAO GIA NGAY 24-10-08 (co dam)" xfId="58"/>
    <cellStyle name="_Bao gia TB Kon Dao 2010" xfId="59"/>
    <cellStyle name="_Biểu KH 5 năm gửi UB sửa biểu VHXH" xfId="60"/>
    <cellStyle name="_Bieu tong hop nhu cau ung_Mien Trung" xfId="61"/>
    <cellStyle name="_Bieu ung von 2011 NSNN - TPCP vung DBSClong (10-6-2010)" xfId="62"/>
    <cellStyle name="_Book1" xfId="63"/>
    <cellStyle name="_Book1_1" xfId="64"/>
    <cellStyle name="_Book1_2" xfId="65"/>
    <cellStyle name="_Book1_BC-QT-WB-dthao" xfId="66"/>
    <cellStyle name="_Book1_Book1" xfId="67"/>
    <cellStyle name="_Book1_DT truong thinh phu" xfId="68"/>
    <cellStyle name="_Book1_Kh ql62 (2010) 11-09" xfId="69"/>
    <cellStyle name="_Book1_khoiluongbdacdoa" xfId="70"/>
    <cellStyle name="_Book1_Kiem Tra Don Gia" xfId="71"/>
    <cellStyle name="_Book1_TH KHAI TOAN THU THIEM cac tuyen TT noi" xfId="72"/>
    <cellStyle name="_C.cong+B.luong-Sanluong" xfId="73"/>
    <cellStyle name="_DG 2012-DT2013 - Theo sac thue -sua" xfId="74"/>
    <cellStyle name="_DG 2012-DT2013 - Theo sac thue -sua_27-8Tong hop PA uoc 2012-DT 2013 -PA 420.000 ty-490.000 ty chuyen doi" xfId="75"/>
    <cellStyle name="_DO-D1500-KHONG CO TRONG DT" xfId="76"/>
    <cellStyle name="_DT truong thinh phu" xfId="77"/>
    <cellStyle name="_DTDT BL-DL" xfId="78"/>
    <cellStyle name="_DTDT BL-DL 2" xfId="79"/>
    <cellStyle name="_du toan lan 3" xfId="80"/>
    <cellStyle name="_Duyet TK thay đôi" xfId="81"/>
    <cellStyle name="_GOITHAUSO2" xfId="82"/>
    <cellStyle name="_GOITHAUSO3" xfId="83"/>
    <cellStyle name="_GOITHAUSO4" xfId="84"/>
    <cellStyle name="_GTXD GOI 2" xfId="85"/>
    <cellStyle name="_GTXD GOI1" xfId="86"/>
    <cellStyle name="_GTXD GOI3" xfId="87"/>
    <cellStyle name="_HaHoa_TDT_DienCSang" xfId="88"/>
    <cellStyle name="_HaHoa19-5-07" xfId="89"/>
    <cellStyle name="_Huong CHI tieu Nhiem vu CTMTQG 2014(1)" xfId="90"/>
    <cellStyle name="_Kh ql62 (2010) 11-09" xfId="91"/>
    <cellStyle name="_KH.DTC.gd2016-2020 tinh (T2-2015)" xfId="92"/>
    <cellStyle name="_khoiluongbdacdoa" xfId="93"/>
    <cellStyle name="_Kiem Tra Don Gia" xfId="94"/>
    <cellStyle name="_KT (2)" xfId="95"/>
    <cellStyle name="_KT (2)_1" xfId="96"/>
    <cellStyle name="_KT (2)_1_Book1" xfId="97"/>
    <cellStyle name="_KT (2)_1_Lora-tungchau" xfId="98"/>
    <cellStyle name="_KT (2)_1_Qt-HT3PQ1(CauKho)" xfId="99"/>
    <cellStyle name="_KT (2)_1_Qt-HT3PQ1(CauKho)_Book1" xfId="100"/>
    <cellStyle name="_KT (2)_1_Qt-HT3PQ1(CauKho)_Don gia quy 3 nam 2003 - Ban Dien Luc" xfId="101"/>
    <cellStyle name="_KT (2)_1_Qt-HT3PQ1(CauKho)_Kiem Tra Don Gia" xfId="102"/>
    <cellStyle name="_KT (2)_1_Qt-HT3PQ1(CauKho)_NC-VL2-2003" xfId="103"/>
    <cellStyle name="_KT (2)_1_Qt-HT3PQ1(CauKho)_NC-VL2-2003_1" xfId="104"/>
    <cellStyle name="_KT (2)_1_Qt-HT3PQ1(CauKho)_XL4Test5" xfId="105"/>
    <cellStyle name="_KT (2)_1_quy luong con lai nam 2004" xfId="106"/>
    <cellStyle name="_KT (2)_1_" xfId="107"/>
    <cellStyle name="_KT (2)_2" xfId="108"/>
    <cellStyle name="_KT (2)_2_Book1" xfId="109"/>
    <cellStyle name="_KT (2)_2_DTDuong dong tien -sua tham tra 2009 - luong 650" xfId="110"/>
    <cellStyle name="_KT (2)_2_quy luong con lai nam 2004" xfId="111"/>
    <cellStyle name="_KT (2)_2_TG-TH" xfId="112"/>
    <cellStyle name="_KT (2)_2_TG-TH_BANG TONG HOP TINH HINH THANH QUYET TOAN (MOI I)" xfId="113"/>
    <cellStyle name="_KT (2)_2_TG-TH_BAO CAO KLCT PT2000" xfId="114"/>
    <cellStyle name="_KT (2)_2_TG-TH_BAO CAO PT2000" xfId="115"/>
    <cellStyle name="_KT (2)_2_TG-TH_BAO CAO PT2000_Book1" xfId="116"/>
    <cellStyle name="_KT (2)_2_TG-TH_Bao cao XDCB 2001 - T11 KH dieu chinh 20-11-THAI" xfId="117"/>
    <cellStyle name="_KT (2)_2_TG-TH_BAO GIA NGAY 24-10-08 (co dam)" xfId="118"/>
    <cellStyle name="_KT (2)_2_TG-TH_Biểu KH 5 năm gửi UB sửa biểu VHXH" xfId="119"/>
    <cellStyle name="_KT (2)_2_TG-TH_Book1" xfId="120"/>
    <cellStyle name="_KT (2)_2_TG-TH_Book1_1" xfId="121"/>
    <cellStyle name="_KT (2)_2_TG-TH_Book1_1_Book1" xfId="122"/>
    <cellStyle name="_KT (2)_2_TG-TH_Book1_1_DanhMucDonGiaVTTB_Dien_TAM" xfId="123"/>
    <cellStyle name="_KT (2)_2_TG-TH_Book1_1_khoiluongbdacdoa" xfId="124"/>
    <cellStyle name="_KT (2)_2_TG-TH_Book1_2" xfId="125"/>
    <cellStyle name="_KT (2)_2_TG-TH_Book1_2_Book1" xfId="126"/>
    <cellStyle name="_KT (2)_2_TG-TH_Book1_3" xfId="127"/>
    <cellStyle name="_KT (2)_2_TG-TH_Book1_3_Book1" xfId="128"/>
    <cellStyle name="_KT (2)_2_TG-TH_Book1_3_DT truong thinh phu" xfId="129"/>
    <cellStyle name="_KT (2)_2_TG-TH_Book1_3_XL4Test5" xfId="130"/>
    <cellStyle name="_KT (2)_2_TG-TH_Book1_4" xfId="131"/>
    <cellStyle name="_KT (2)_2_TG-TH_Book1_Book1" xfId="132"/>
    <cellStyle name="_KT (2)_2_TG-TH_Book1_DanhMucDonGiaVTTB_Dien_TAM" xfId="133"/>
    <cellStyle name="_KT (2)_2_TG-TH_Book1_khoiluongbdacdoa" xfId="134"/>
    <cellStyle name="_KT (2)_2_TG-TH_Book1_Kiem Tra Don Gia" xfId="135"/>
    <cellStyle name="_KT (2)_2_TG-TH_Book1_Tong hop 3 tinh (11_5)-TTH-QN-QT" xfId="136"/>
    <cellStyle name="_KT (2)_2_TG-TH_Book1_" xfId="137"/>
    <cellStyle name="_KT (2)_2_TG-TH_CAU Khanh Nam(Thi Cong)" xfId="138"/>
    <cellStyle name="_KT (2)_2_TG-TH_DAU NOI PL-CL TAI PHU LAMHC" xfId="139"/>
    <cellStyle name="_KT (2)_2_TG-TH_Dcdtoan-bcnckt " xfId="140"/>
    <cellStyle name="_KT (2)_2_TG-TH_DN_MTP" xfId="141"/>
    <cellStyle name="_KT (2)_2_TG-TH_Dongia2-2003" xfId="142"/>
    <cellStyle name="_KT (2)_2_TG-TH_Dongia2-2003_DT truong thinh phu" xfId="143"/>
    <cellStyle name="_KT (2)_2_TG-TH_DT truong thinh phu" xfId="144"/>
    <cellStyle name="_KT (2)_2_TG-TH_DTCDT MR.2N110.HOCMON.TDTOAN.CCUNG" xfId="145"/>
    <cellStyle name="_KT (2)_2_TG-TH_DTDuong dong tien -sua tham tra 2009 - luong 650" xfId="146"/>
    <cellStyle name="_KT (2)_2_TG-TH_DU TRU VAT TU" xfId="147"/>
    <cellStyle name="_KT (2)_2_TG-TH_khoiluongbdacdoa" xfId="148"/>
    <cellStyle name="_KT (2)_2_TG-TH_Kiem Tra Don Gia" xfId="149"/>
    <cellStyle name="_KT (2)_2_TG-TH_Lora-tungchau" xfId="150"/>
    <cellStyle name="_KT (2)_2_TG-TH_moi" xfId="151"/>
    <cellStyle name="_KT (2)_2_TG-TH_PGIA-phieu tham tra Kho bac" xfId="152"/>
    <cellStyle name="_KT (2)_2_TG-TH_PT02-02" xfId="153"/>
    <cellStyle name="_KT (2)_2_TG-TH_PT02-02_Book1" xfId="154"/>
    <cellStyle name="_KT (2)_2_TG-TH_PT02-03" xfId="155"/>
    <cellStyle name="_KT (2)_2_TG-TH_PT02-03_Book1" xfId="156"/>
    <cellStyle name="_KT (2)_2_TG-TH_Qt-HT3PQ1(CauKho)" xfId="157"/>
    <cellStyle name="_KT (2)_2_TG-TH_Qt-HT3PQ1(CauKho)_Book1" xfId="158"/>
    <cellStyle name="_KT (2)_2_TG-TH_Qt-HT3PQ1(CauKho)_Don gia quy 3 nam 2003 - Ban Dien Luc" xfId="159"/>
    <cellStyle name="_KT (2)_2_TG-TH_Qt-HT3PQ1(CauKho)_Kiem Tra Don Gia" xfId="160"/>
    <cellStyle name="_KT (2)_2_TG-TH_Qt-HT3PQ1(CauKho)_NC-VL2-2003" xfId="161"/>
    <cellStyle name="_KT (2)_2_TG-TH_Qt-HT3PQ1(CauKho)_NC-VL2-2003_1" xfId="162"/>
    <cellStyle name="_KT (2)_2_TG-TH_Qt-HT3PQ1(CauKho)_XL4Test5" xfId="163"/>
    <cellStyle name="_KT (2)_2_TG-TH_QT-LCTP-AE" xfId="164"/>
    <cellStyle name="_KT (2)_2_TG-TH_quy luong con lai nam 2004" xfId="165"/>
    <cellStyle name="_KT (2)_2_TG-TH_Sheet2" xfId="166"/>
    <cellStyle name="_KT (2)_2_TG-TH_TEL OUT 2004" xfId="167"/>
    <cellStyle name="_KT (2)_2_TG-TH_Tong hop 3 tinh (11_5)-TTH-QN-QT" xfId="168"/>
    <cellStyle name="_KT (2)_2_TG-TH_XL4Poppy" xfId="169"/>
    <cellStyle name="_KT (2)_2_TG-TH_XL4Test5" xfId="170"/>
    <cellStyle name="_KT (2)_2_TG-TH_ÿÿÿÿÿ" xfId="171"/>
    <cellStyle name="_KT (2)_2_TG-TH_" xfId="172"/>
    <cellStyle name="_KT (2)_3" xfId="173"/>
    <cellStyle name="_KT (2)_3_TG-TH" xfId="174"/>
    <cellStyle name="_KT (2)_3_TG-TH_Book1" xfId="175"/>
    <cellStyle name="_KT (2)_3_TG-TH_Book1_1" xfId="176"/>
    <cellStyle name="_KT (2)_3_TG-TH_Book1_BC-QT-WB-dthao" xfId="177"/>
    <cellStyle name="_KT (2)_3_TG-TH_Book1_Book1" xfId="178"/>
    <cellStyle name="_KT (2)_3_TG-TH_Book1_Kiem Tra Don Gia" xfId="179"/>
    <cellStyle name="_KT (2)_3_TG-TH_Book1_Kiem Tra Don Gia 2" xfId="180"/>
    <cellStyle name="_KT (2)_3_TG-TH_khoiluongbdacdoa" xfId="181"/>
    <cellStyle name="_KT (2)_3_TG-TH_Kiem Tra Don Gia" xfId="182"/>
    <cellStyle name="_KT (2)_3_TG-TH_Lora-tungchau" xfId="183"/>
    <cellStyle name="_KT (2)_3_TG-TH_Lora-tungchau_Book1" xfId="184"/>
    <cellStyle name="_KT (2)_3_TG-TH_Lora-tungchau_Kiem Tra Don Gia" xfId="185"/>
    <cellStyle name="_KT (2)_3_TG-TH_Lora-tungchau_Kiem Tra Don Gia 2" xfId="186"/>
    <cellStyle name="_KT (2)_3_TG-TH_PERSONAL" xfId="187"/>
    <cellStyle name="_KT (2)_3_TG-TH_PERSONAL_Book1" xfId="188"/>
    <cellStyle name="_KT (2)_3_TG-TH_PERSONAL_HTQ.8 GD1" xfId="189"/>
    <cellStyle name="_KT (2)_3_TG-TH_PERSONAL_HTQ.8 GD1_Book1" xfId="190"/>
    <cellStyle name="_KT (2)_3_TG-TH_PERSONAL_HTQ.8 GD1_Don gia quy 3 nam 2003 - Ban Dien Luc" xfId="191"/>
    <cellStyle name="_KT (2)_3_TG-TH_PERSONAL_HTQ.8 GD1_NC-VL2-2003" xfId="192"/>
    <cellStyle name="_KT (2)_3_TG-TH_PERSONAL_HTQ.8 GD1_NC-VL2-2003_1" xfId="193"/>
    <cellStyle name="_KT (2)_3_TG-TH_PERSONAL_HTQ.8 GD1_XL4Test5" xfId="194"/>
    <cellStyle name="_KT (2)_3_TG-TH_PERSONAL_khoiluongbdacdoa" xfId="195"/>
    <cellStyle name="_KT (2)_3_TG-TH_PERSONAL_Tong hop KHCB 2001" xfId="196"/>
    <cellStyle name="_KT (2)_3_TG-TH_PERSONAL_" xfId="197"/>
    <cellStyle name="_KT (2)_3_TG-TH_Qt-HT3PQ1(CauKho)" xfId="198"/>
    <cellStyle name="_KT (2)_3_TG-TH_Qt-HT3PQ1(CauKho)_Book1" xfId="199"/>
    <cellStyle name="_KT (2)_3_TG-TH_Qt-HT3PQ1(CauKho)_Don gia quy 3 nam 2003 - Ban Dien Luc" xfId="200"/>
    <cellStyle name="_KT (2)_3_TG-TH_Qt-HT3PQ1(CauKho)_Kiem Tra Don Gia" xfId="201"/>
    <cellStyle name="_KT (2)_3_TG-TH_Qt-HT3PQ1(CauKho)_NC-VL2-2003" xfId="202"/>
    <cellStyle name="_KT (2)_3_TG-TH_Qt-HT3PQ1(CauKho)_NC-VL2-2003_1" xfId="203"/>
    <cellStyle name="_KT (2)_3_TG-TH_Qt-HT3PQ1(CauKho)_XL4Test5" xfId="204"/>
    <cellStyle name="_KT (2)_3_TG-TH_QT-LCTP-AE" xfId="205"/>
    <cellStyle name="_KT (2)_3_TG-TH_quy luong con lai nam 2004" xfId="206"/>
    <cellStyle name="_KT (2)_3_TG-TH_" xfId="207"/>
    <cellStyle name="_KT (2)_4" xfId="208"/>
    <cellStyle name="_KT (2)_4_BANG TONG HOP TINH HINH THANH QUYET TOAN (MOI I)" xfId="209"/>
    <cellStyle name="_KT (2)_4_BAO CAO KLCT PT2000" xfId="210"/>
    <cellStyle name="_KT (2)_4_BAO CAO PT2000" xfId="211"/>
    <cellStyle name="_KT (2)_4_BAO CAO PT2000_Book1" xfId="212"/>
    <cellStyle name="_KT (2)_4_Bao cao XDCB 2001 - T11 KH dieu chinh 20-11-THAI" xfId="213"/>
    <cellStyle name="_KT (2)_4_BAO GIA NGAY 24-10-08 (co dam)" xfId="214"/>
    <cellStyle name="_KT (2)_4_Biểu KH 5 năm gửi UB sửa biểu VHXH" xfId="215"/>
    <cellStyle name="_KT (2)_4_Book1" xfId="216"/>
    <cellStyle name="_KT (2)_4_Book1_1" xfId="217"/>
    <cellStyle name="_KT (2)_4_Book1_1_Book1" xfId="218"/>
    <cellStyle name="_KT (2)_4_Book1_1_DanhMucDonGiaVTTB_Dien_TAM" xfId="219"/>
    <cellStyle name="_KT (2)_4_Book1_1_khoiluongbdacdoa" xfId="220"/>
    <cellStyle name="_KT (2)_4_Book1_2" xfId="221"/>
    <cellStyle name="_KT (2)_4_Book1_2_Book1" xfId="222"/>
    <cellStyle name="_KT (2)_4_Book1_3" xfId="223"/>
    <cellStyle name="_KT (2)_4_Book1_3_Book1" xfId="224"/>
    <cellStyle name="_KT (2)_4_Book1_3_DT truong thinh phu" xfId="225"/>
    <cellStyle name="_KT (2)_4_Book1_3_XL4Test5" xfId="226"/>
    <cellStyle name="_KT (2)_4_Book1_4" xfId="227"/>
    <cellStyle name="_KT (2)_4_Book1_Book1" xfId="228"/>
    <cellStyle name="_KT (2)_4_Book1_DanhMucDonGiaVTTB_Dien_TAM" xfId="229"/>
    <cellStyle name="_KT (2)_4_Book1_khoiluongbdacdoa" xfId="230"/>
    <cellStyle name="_KT (2)_4_Book1_Kiem Tra Don Gia" xfId="231"/>
    <cellStyle name="_KT (2)_4_Book1_Tong hop 3 tinh (11_5)-TTH-QN-QT" xfId="232"/>
    <cellStyle name="_KT (2)_4_Book1_" xfId="233"/>
    <cellStyle name="_KT (2)_4_CAU Khanh Nam(Thi Cong)" xfId="234"/>
    <cellStyle name="_KT (2)_4_DAU NOI PL-CL TAI PHU LAMHC" xfId="235"/>
    <cellStyle name="_KT (2)_4_Dcdtoan-bcnckt " xfId="236"/>
    <cellStyle name="_KT (2)_4_DN_MTP" xfId="237"/>
    <cellStyle name="_KT (2)_4_Dongia2-2003" xfId="238"/>
    <cellStyle name="_KT (2)_4_Dongia2-2003_DT truong thinh phu" xfId="239"/>
    <cellStyle name="_KT (2)_4_DT truong thinh phu" xfId="240"/>
    <cellStyle name="_KT (2)_4_DTCDT MR.2N110.HOCMON.TDTOAN.CCUNG" xfId="241"/>
    <cellStyle name="_KT (2)_4_DTDuong dong tien -sua tham tra 2009 - luong 650" xfId="242"/>
    <cellStyle name="_KT (2)_4_DU TRU VAT TU" xfId="243"/>
    <cellStyle name="_KT (2)_4_khoiluongbdacdoa" xfId="244"/>
    <cellStyle name="_KT (2)_4_Kiem Tra Don Gia" xfId="245"/>
    <cellStyle name="_KT (2)_4_Lora-tungchau" xfId="246"/>
    <cellStyle name="_KT (2)_4_moi" xfId="247"/>
    <cellStyle name="_KT (2)_4_PGIA-phieu tham tra Kho bac" xfId="248"/>
    <cellStyle name="_KT (2)_4_PT02-02" xfId="249"/>
    <cellStyle name="_KT (2)_4_PT02-02_Book1" xfId="250"/>
    <cellStyle name="_KT (2)_4_PT02-03" xfId="251"/>
    <cellStyle name="_KT (2)_4_PT02-03_Book1" xfId="252"/>
    <cellStyle name="_KT (2)_4_Qt-HT3PQ1(CauKho)" xfId="253"/>
    <cellStyle name="_KT (2)_4_Qt-HT3PQ1(CauKho)_Book1" xfId="254"/>
    <cellStyle name="_KT (2)_4_Qt-HT3PQ1(CauKho)_Don gia quy 3 nam 2003 - Ban Dien Luc" xfId="255"/>
    <cellStyle name="_KT (2)_4_Qt-HT3PQ1(CauKho)_Kiem Tra Don Gia" xfId="256"/>
    <cellStyle name="_KT (2)_4_Qt-HT3PQ1(CauKho)_NC-VL2-2003" xfId="257"/>
    <cellStyle name="_KT (2)_4_Qt-HT3PQ1(CauKho)_NC-VL2-2003_1" xfId="258"/>
    <cellStyle name="_KT (2)_4_Qt-HT3PQ1(CauKho)_XL4Test5" xfId="259"/>
    <cellStyle name="_KT (2)_4_QT-LCTP-AE" xfId="260"/>
    <cellStyle name="_KT (2)_4_quy luong con lai nam 2004" xfId="261"/>
    <cellStyle name="_KT (2)_4_Sheet2" xfId="262"/>
    <cellStyle name="_KT (2)_4_TEL OUT 2004" xfId="263"/>
    <cellStyle name="_KT (2)_4_TG-TH" xfId="264"/>
    <cellStyle name="_KT (2)_4_TG-TH_Book1" xfId="265"/>
    <cellStyle name="_KT (2)_4_TG-TH_DTDuong dong tien -sua tham tra 2009 - luong 650" xfId="266"/>
    <cellStyle name="_KT (2)_4_TG-TH_quy luong con lai nam 2004" xfId="267"/>
    <cellStyle name="_KT (2)_4_Tong hop 3 tinh (11_5)-TTH-QN-QT" xfId="268"/>
    <cellStyle name="_KT (2)_4_XL4Poppy" xfId="269"/>
    <cellStyle name="_KT (2)_4_XL4Test5" xfId="270"/>
    <cellStyle name="_KT (2)_4_ÿÿÿÿÿ" xfId="271"/>
    <cellStyle name="_KT (2)_4_" xfId="272"/>
    <cellStyle name="_KT (2)_5" xfId="273"/>
    <cellStyle name="_KT (2)_5_BANG TONG HOP TINH HINH THANH QUYET TOAN (MOI I)" xfId="274"/>
    <cellStyle name="_KT (2)_5_BAO CAO KLCT PT2000" xfId="275"/>
    <cellStyle name="_KT (2)_5_BAO CAO PT2000" xfId="276"/>
    <cellStyle name="_KT (2)_5_BAO CAO PT2000_Book1" xfId="277"/>
    <cellStyle name="_KT (2)_5_Bao cao XDCB 2001 - T11 KH dieu chinh 20-11-THAI" xfId="278"/>
    <cellStyle name="_KT (2)_5_BAO GIA NGAY 24-10-08 (co dam)" xfId="279"/>
    <cellStyle name="_KT (2)_5_Biểu KH 5 năm gửi UB sửa biểu VHXH" xfId="280"/>
    <cellStyle name="_KT (2)_5_Book1" xfId="281"/>
    <cellStyle name="_KT (2)_5_Book1_1" xfId="282"/>
    <cellStyle name="_KT (2)_5_Book1_1_Book1" xfId="283"/>
    <cellStyle name="_KT (2)_5_Book1_1_DanhMucDonGiaVTTB_Dien_TAM" xfId="284"/>
    <cellStyle name="_KT (2)_5_Book1_1_khoiluongbdacdoa" xfId="285"/>
    <cellStyle name="_KT (2)_5_Book1_2" xfId="286"/>
    <cellStyle name="_KT (2)_5_Book1_2_Book1" xfId="287"/>
    <cellStyle name="_KT (2)_5_Book1_3" xfId="288"/>
    <cellStyle name="_KT (2)_5_Book1_3_Book1" xfId="289"/>
    <cellStyle name="_KT (2)_5_Book1_3_DT truong thinh phu" xfId="290"/>
    <cellStyle name="_KT (2)_5_Book1_3_XL4Test5" xfId="291"/>
    <cellStyle name="_KT (2)_5_Book1_4" xfId="292"/>
    <cellStyle name="_KT (2)_5_Book1_BC-QT-WB-dthao" xfId="293"/>
    <cellStyle name="_KT (2)_5_Book1_Book1" xfId="294"/>
    <cellStyle name="_KT (2)_5_Book1_DanhMucDonGiaVTTB_Dien_TAM" xfId="295"/>
    <cellStyle name="_KT (2)_5_Book1_khoiluongbdacdoa" xfId="296"/>
    <cellStyle name="_KT (2)_5_Book1_Kiem Tra Don Gia" xfId="297"/>
    <cellStyle name="_KT (2)_5_Book1_Tong hop 3 tinh (11_5)-TTH-QN-QT" xfId="298"/>
    <cellStyle name="_KT (2)_5_Book1_" xfId="299"/>
    <cellStyle name="_KT (2)_5_CAU Khanh Nam(Thi Cong)" xfId="300"/>
    <cellStyle name="_KT (2)_5_DAU NOI PL-CL TAI PHU LAMHC" xfId="301"/>
    <cellStyle name="_KT (2)_5_Dcdtoan-bcnckt " xfId="302"/>
    <cellStyle name="_KT (2)_5_DN_MTP" xfId="303"/>
    <cellStyle name="_KT (2)_5_Dongia2-2003" xfId="304"/>
    <cellStyle name="_KT (2)_5_Dongia2-2003_DT truong thinh phu" xfId="305"/>
    <cellStyle name="_KT (2)_5_DT truong thinh phu" xfId="306"/>
    <cellStyle name="_KT (2)_5_DTCDT MR.2N110.HOCMON.TDTOAN.CCUNG" xfId="307"/>
    <cellStyle name="_KT (2)_5_DTDuong dong tien -sua tham tra 2009 - luong 650" xfId="308"/>
    <cellStyle name="_KT (2)_5_DU TRU VAT TU" xfId="309"/>
    <cellStyle name="_KT (2)_5_khoiluongbdacdoa" xfId="310"/>
    <cellStyle name="_KT (2)_5_Kiem Tra Don Gia" xfId="311"/>
    <cellStyle name="_KT (2)_5_Lora-tungchau" xfId="312"/>
    <cellStyle name="_KT (2)_5_moi" xfId="313"/>
    <cellStyle name="_KT (2)_5_PGIA-phieu tham tra Kho bac" xfId="314"/>
    <cellStyle name="_KT (2)_5_PT02-02" xfId="315"/>
    <cellStyle name="_KT (2)_5_PT02-02_Book1" xfId="316"/>
    <cellStyle name="_KT (2)_5_PT02-03" xfId="317"/>
    <cellStyle name="_KT (2)_5_PT02-03_Book1" xfId="318"/>
    <cellStyle name="_KT (2)_5_Qt-HT3PQ1(CauKho)" xfId="319"/>
    <cellStyle name="_KT (2)_5_Qt-HT3PQ1(CauKho)_Book1" xfId="320"/>
    <cellStyle name="_KT (2)_5_Qt-HT3PQ1(CauKho)_Don gia quy 3 nam 2003 - Ban Dien Luc" xfId="321"/>
    <cellStyle name="_KT (2)_5_Qt-HT3PQ1(CauKho)_Kiem Tra Don Gia" xfId="322"/>
    <cellStyle name="_KT (2)_5_Qt-HT3PQ1(CauKho)_NC-VL2-2003" xfId="323"/>
    <cellStyle name="_KT (2)_5_Qt-HT3PQ1(CauKho)_NC-VL2-2003_1" xfId="324"/>
    <cellStyle name="_KT (2)_5_Qt-HT3PQ1(CauKho)_XL4Test5" xfId="325"/>
    <cellStyle name="_KT (2)_5_QT-LCTP-AE" xfId="326"/>
    <cellStyle name="_KT (2)_5_Sheet2" xfId="327"/>
    <cellStyle name="_KT (2)_5_TEL OUT 2004" xfId="328"/>
    <cellStyle name="_KT (2)_5_Tong hop 3 tinh (11_5)-TTH-QN-QT" xfId="329"/>
    <cellStyle name="_KT (2)_5_XL4Poppy" xfId="330"/>
    <cellStyle name="_KT (2)_5_XL4Test5" xfId="331"/>
    <cellStyle name="_KT (2)_5_ÿÿÿÿÿ" xfId="332"/>
    <cellStyle name="_KT (2)_5_" xfId="333"/>
    <cellStyle name="_KT (2)_Book1" xfId="334"/>
    <cellStyle name="_KT (2)_Book1_1" xfId="335"/>
    <cellStyle name="_KT (2)_Book1_BC-QT-WB-dthao" xfId="336"/>
    <cellStyle name="_KT (2)_Book1_Book1" xfId="337"/>
    <cellStyle name="_KT (2)_Book1_Kiem Tra Don Gia" xfId="338"/>
    <cellStyle name="_KT (2)_Book1_Kiem Tra Don Gia 2" xfId="339"/>
    <cellStyle name="_KT (2)_khoiluongbdacdoa" xfId="340"/>
    <cellStyle name="_KT (2)_Kiem Tra Don Gia" xfId="341"/>
    <cellStyle name="_KT (2)_Lora-tungchau" xfId="342"/>
    <cellStyle name="_KT (2)_Lora-tungchau_Book1" xfId="343"/>
    <cellStyle name="_KT (2)_Lora-tungchau_Kiem Tra Don Gia" xfId="344"/>
    <cellStyle name="_KT (2)_Lora-tungchau_Kiem Tra Don Gia 2" xfId="345"/>
    <cellStyle name="_KT (2)_PERSONAL" xfId="346"/>
    <cellStyle name="_KT (2)_PERSONAL_Book1" xfId="347"/>
    <cellStyle name="_KT (2)_PERSONAL_HTQ.8 GD1" xfId="348"/>
    <cellStyle name="_KT (2)_PERSONAL_HTQ.8 GD1_Book1" xfId="349"/>
    <cellStyle name="_KT (2)_PERSONAL_HTQ.8 GD1_Don gia quy 3 nam 2003 - Ban Dien Luc" xfId="350"/>
    <cellStyle name="_KT (2)_PERSONAL_HTQ.8 GD1_NC-VL2-2003" xfId="351"/>
    <cellStyle name="_KT (2)_PERSONAL_HTQ.8 GD1_NC-VL2-2003_1" xfId="352"/>
    <cellStyle name="_KT (2)_PERSONAL_HTQ.8 GD1_XL4Test5" xfId="353"/>
    <cellStyle name="_KT (2)_PERSONAL_khoiluongbdacdoa" xfId="354"/>
    <cellStyle name="_KT (2)_PERSONAL_Tong hop KHCB 2001" xfId="355"/>
    <cellStyle name="_KT (2)_PERSONAL_" xfId="356"/>
    <cellStyle name="_KT (2)_Qt-HT3PQ1(CauKho)" xfId="357"/>
    <cellStyle name="_KT (2)_Qt-HT3PQ1(CauKho)_Book1" xfId="358"/>
    <cellStyle name="_KT (2)_Qt-HT3PQ1(CauKho)_Don gia quy 3 nam 2003 - Ban Dien Luc" xfId="359"/>
    <cellStyle name="_KT (2)_Qt-HT3PQ1(CauKho)_Kiem Tra Don Gia" xfId="360"/>
    <cellStyle name="_KT (2)_Qt-HT3PQ1(CauKho)_NC-VL2-2003" xfId="361"/>
    <cellStyle name="_KT (2)_Qt-HT3PQ1(CauKho)_NC-VL2-2003_1" xfId="362"/>
    <cellStyle name="_KT (2)_Qt-HT3PQ1(CauKho)_XL4Test5" xfId="363"/>
    <cellStyle name="_KT (2)_QT-LCTP-AE" xfId="364"/>
    <cellStyle name="_KT (2)_quy luong con lai nam 2004" xfId="365"/>
    <cellStyle name="_KT (2)_TG-TH" xfId="366"/>
    <cellStyle name="_KT (2)_" xfId="367"/>
    <cellStyle name="_KT_TG" xfId="368"/>
    <cellStyle name="_KT_TG_1" xfId="369"/>
    <cellStyle name="_KT_TG_1_BANG TONG HOP TINH HINH THANH QUYET TOAN (MOI I)" xfId="370"/>
    <cellStyle name="_KT_TG_1_BAO CAO KLCT PT2000" xfId="371"/>
    <cellStyle name="_KT_TG_1_BAO CAO PT2000" xfId="372"/>
    <cellStyle name="_KT_TG_1_BAO CAO PT2000_Book1" xfId="373"/>
    <cellStyle name="_KT_TG_1_Bao cao XDCB 2001 - T11 KH dieu chinh 20-11-THAI" xfId="374"/>
    <cellStyle name="_KT_TG_1_BAO GIA NGAY 24-10-08 (co dam)" xfId="375"/>
    <cellStyle name="_KT_TG_1_Biểu KH 5 năm gửi UB sửa biểu VHXH" xfId="376"/>
    <cellStyle name="_KT_TG_1_Book1" xfId="377"/>
    <cellStyle name="_KT_TG_1_Book1_1" xfId="378"/>
    <cellStyle name="_KT_TG_1_Book1_1_Book1" xfId="379"/>
    <cellStyle name="_KT_TG_1_Book1_1_DanhMucDonGiaVTTB_Dien_TAM" xfId="380"/>
    <cellStyle name="_KT_TG_1_Book1_1_khoiluongbdacdoa" xfId="381"/>
    <cellStyle name="_KT_TG_1_Book1_2" xfId="382"/>
    <cellStyle name="_KT_TG_1_Book1_2_Book1" xfId="383"/>
    <cellStyle name="_KT_TG_1_Book1_3" xfId="384"/>
    <cellStyle name="_KT_TG_1_Book1_3_Book1" xfId="385"/>
    <cellStyle name="_KT_TG_1_Book1_3_DT truong thinh phu" xfId="386"/>
    <cellStyle name="_KT_TG_1_Book1_3_XL4Test5" xfId="387"/>
    <cellStyle name="_KT_TG_1_Book1_4" xfId="388"/>
    <cellStyle name="_KT_TG_1_Book1_BC-QT-WB-dthao" xfId="389"/>
    <cellStyle name="_KT_TG_1_Book1_Book1" xfId="390"/>
    <cellStyle name="_KT_TG_1_Book1_DanhMucDonGiaVTTB_Dien_TAM" xfId="391"/>
    <cellStyle name="_KT_TG_1_Book1_khoiluongbdacdoa" xfId="392"/>
    <cellStyle name="_KT_TG_1_Book1_Kiem Tra Don Gia" xfId="393"/>
    <cellStyle name="_KT_TG_1_Book1_Tong hop 3 tinh (11_5)-TTH-QN-QT" xfId="394"/>
    <cellStyle name="_KT_TG_1_Book1_" xfId="395"/>
    <cellStyle name="_KT_TG_1_CAU Khanh Nam(Thi Cong)" xfId="396"/>
    <cellStyle name="_KT_TG_1_DAU NOI PL-CL TAI PHU LAMHC" xfId="397"/>
    <cellStyle name="_KT_TG_1_Dcdtoan-bcnckt " xfId="398"/>
    <cellStyle name="_KT_TG_1_DN_MTP" xfId="399"/>
    <cellStyle name="_KT_TG_1_Dongia2-2003" xfId="400"/>
    <cellStyle name="_KT_TG_1_Dongia2-2003_DT truong thinh phu" xfId="401"/>
    <cellStyle name="_KT_TG_1_DT truong thinh phu" xfId="402"/>
    <cellStyle name="_KT_TG_1_DTCDT MR.2N110.HOCMON.TDTOAN.CCUNG" xfId="403"/>
    <cellStyle name="_KT_TG_1_DTDuong dong tien -sua tham tra 2009 - luong 650" xfId="404"/>
    <cellStyle name="_KT_TG_1_DU TRU VAT TU" xfId="405"/>
    <cellStyle name="_KT_TG_1_khoiluongbdacdoa" xfId="406"/>
    <cellStyle name="_KT_TG_1_Kiem Tra Don Gia" xfId="407"/>
    <cellStyle name="_KT_TG_1_Lora-tungchau" xfId="408"/>
    <cellStyle name="_KT_TG_1_moi" xfId="409"/>
    <cellStyle name="_KT_TG_1_PGIA-phieu tham tra Kho bac" xfId="410"/>
    <cellStyle name="_KT_TG_1_PT02-02" xfId="411"/>
    <cellStyle name="_KT_TG_1_PT02-02_Book1" xfId="412"/>
    <cellStyle name="_KT_TG_1_PT02-03" xfId="413"/>
    <cellStyle name="_KT_TG_1_PT02-03_Book1" xfId="414"/>
    <cellStyle name="_KT_TG_1_Qt-HT3PQ1(CauKho)" xfId="415"/>
    <cellStyle name="_KT_TG_1_Qt-HT3PQ1(CauKho)_Book1" xfId="416"/>
    <cellStyle name="_KT_TG_1_Qt-HT3PQ1(CauKho)_Don gia quy 3 nam 2003 - Ban Dien Luc" xfId="417"/>
    <cellStyle name="_KT_TG_1_Qt-HT3PQ1(CauKho)_Kiem Tra Don Gia" xfId="418"/>
    <cellStyle name="_KT_TG_1_Qt-HT3PQ1(CauKho)_NC-VL2-2003" xfId="419"/>
    <cellStyle name="_KT_TG_1_Qt-HT3PQ1(CauKho)_NC-VL2-2003_1" xfId="420"/>
    <cellStyle name="_KT_TG_1_Qt-HT3PQ1(CauKho)_XL4Test5" xfId="421"/>
    <cellStyle name="_KT_TG_1_QT-LCTP-AE" xfId="422"/>
    <cellStyle name="_KT_TG_1_Sheet2" xfId="423"/>
    <cellStyle name="_KT_TG_1_TEL OUT 2004" xfId="424"/>
    <cellStyle name="_KT_TG_1_Tong hop 3 tinh (11_5)-TTH-QN-QT" xfId="425"/>
    <cellStyle name="_KT_TG_1_XL4Poppy" xfId="426"/>
    <cellStyle name="_KT_TG_1_XL4Test5" xfId="427"/>
    <cellStyle name="_KT_TG_1_ÿÿÿÿÿ" xfId="428"/>
    <cellStyle name="_KT_TG_1_" xfId="429"/>
    <cellStyle name="_KT_TG_2" xfId="430"/>
    <cellStyle name="_KT_TG_2_BANG TONG HOP TINH HINH THANH QUYET TOAN (MOI I)" xfId="431"/>
    <cellStyle name="_KT_TG_2_BAO CAO KLCT PT2000" xfId="432"/>
    <cellStyle name="_KT_TG_2_BAO CAO PT2000" xfId="433"/>
    <cellStyle name="_KT_TG_2_BAO CAO PT2000_Book1" xfId="434"/>
    <cellStyle name="_KT_TG_2_Bao cao XDCB 2001 - T11 KH dieu chinh 20-11-THAI" xfId="435"/>
    <cellStyle name="_KT_TG_2_BAO GIA NGAY 24-10-08 (co dam)" xfId="436"/>
    <cellStyle name="_KT_TG_2_Biểu KH 5 năm gửi UB sửa biểu VHXH" xfId="437"/>
    <cellStyle name="_KT_TG_2_Book1" xfId="438"/>
    <cellStyle name="_KT_TG_2_Book1_1" xfId="439"/>
    <cellStyle name="_KT_TG_2_Book1_1_Book1" xfId="440"/>
    <cellStyle name="_KT_TG_2_Book1_1_DanhMucDonGiaVTTB_Dien_TAM" xfId="441"/>
    <cellStyle name="_KT_TG_2_Book1_1_khoiluongbdacdoa" xfId="442"/>
    <cellStyle name="_KT_TG_2_Book1_2" xfId="443"/>
    <cellStyle name="_KT_TG_2_Book1_2_Book1" xfId="444"/>
    <cellStyle name="_KT_TG_2_Book1_3" xfId="445"/>
    <cellStyle name="_KT_TG_2_Book1_3_Book1" xfId="446"/>
    <cellStyle name="_KT_TG_2_Book1_3_DT truong thinh phu" xfId="447"/>
    <cellStyle name="_KT_TG_2_Book1_3_XL4Test5" xfId="448"/>
    <cellStyle name="_KT_TG_2_Book1_4" xfId="449"/>
    <cellStyle name="_KT_TG_2_Book1_Book1" xfId="450"/>
    <cellStyle name="_KT_TG_2_Book1_DanhMucDonGiaVTTB_Dien_TAM" xfId="451"/>
    <cellStyle name="_KT_TG_2_Book1_khoiluongbdacdoa" xfId="452"/>
    <cellStyle name="_KT_TG_2_Book1_Kiem Tra Don Gia" xfId="453"/>
    <cellStyle name="_KT_TG_2_Book1_Tong hop 3 tinh (11_5)-TTH-QN-QT" xfId="454"/>
    <cellStyle name="_KT_TG_2_Book1_" xfId="455"/>
    <cellStyle name="_KT_TG_2_CAU Khanh Nam(Thi Cong)" xfId="456"/>
    <cellStyle name="_KT_TG_2_DAU NOI PL-CL TAI PHU LAMHC" xfId="457"/>
    <cellStyle name="_KT_TG_2_Dcdtoan-bcnckt " xfId="458"/>
    <cellStyle name="_KT_TG_2_DN_MTP" xfId="459"/>
    <cellStyle name="_KT_TG_2_Dongia2-2003" xfId="460"/>
    <cellStyle name="_KT_TG_2_Dongia2-2003_DT truong thinh phu" xfId="461"/>
    <cellStyle name="_KT_TG_2_DT truong thinh phu" xfId="462"/>
    <cellStyle name="_KT_TG_2_DTCDT MR.2N110.HOCMON.TDTOAN.CCUNG" xfId="463"/>
    <cellStyle name="_KT_TG_2_DTDuong dong tien -sua tham tra 2009 - luong 650" xfId="464"/>
    <cellStyle name="_KT_TG_2_DU TRU VAT TU" xfId="465"/>
    <cellStyle name="_KT_TG_2_khoiluongbdacdoa" xfId="466"/>
    <cellStyle name="_KT_TG_2_Kiem Tra Don Gia" xfId="467"/>
    <cellStyle name="_KT_TG_2_Lora-tungchau" xfId="468"/>
    <cellStyle name="_KT_TG_2_moi" xfId="469"/>
    <cellStyle name="_KT_TG_2_PGIA-phieu tham tra Kho bac" xfId="470"/>
    <cellStyle name="_KT_TG_2_PT02-02" xfId="471"/>
    <cellStyle name="_KT_TG_2_PT02-02_Book1" xfId="472"/>
    <cellStyle name="_KT_TG_2_PT02-03" xfId="473"/>
    <cellStyle name="_KT_TG_2_PT02-03_Book1" xfId="474"/>
    <cellStyle name="_KT_TG_2_Qt-HT3PQ1(CauKho)" xfId="475"/>
    <cellStyle name="_KT_TG_2_Qt-HT3PQ1(CauKho)_Book1" xfId="476"/>
    <cellStyle name="_KT_TG_2_Qt-HT3PQ1(CauKho)_Don gia quy 3 nam 2003 - Ban Dien Luc" xfId="477"/>
    <cellStyle name="_KT_TG_2_Qt-HT3PQ1(CauKho)_Kiem Tra Don Gia" xfId="478"/>
    <cellStyle name="_KT_TG_2_Qt-HT3PQ1(CauKho)_NC-VL2-2003" xfId="479"/>
    <cellStyle name="_KT_TG_2_Qt-HT3PQ1(CauKho)_NC-VL2-2003_1" xfId="480"/>
    <cellStyle name="_KT_TG_2_Qt-HT3PQ1(CauKho)_XL4Test5" xfId="481"/>
    <cellStyle name="_KT_TG_2_QT-LCTP-AE" xfId="482"/>
    <cellStyle name="_KT_TG_2_quy luong con lai nam 2004" xfId="483"/>
    <cellStyle name="_KT_TG_2_Sheet2" xfId="484"/>
    <cellStyle name="_KT_TG_2_TEL OUT 2004" xfId="485"/>
    <cellStyle name="_KT_TG_2_Tong hop 3 tinh (11_5)-TTH-QN-QT" xfId="486"/>
    <cellStyle name="_KT_TG_2_XL4Poppy" xfId="487"/>
    <cellStyle name="_KT_TG_2_XL4Test5" xfId="488"/>
    <cellStyle name="_KT_TG_2_ÿÿÿÿÿ" xfId="489"/>
    <cellStyle name="_KT_TG_2_" xfId="490"/>
    <cellStyle name="_KT_TG_3" xfId="491"/>
    <cellStyle name="_KT_TG_4" xfId="492"/>
    <cellStyle name="_KT_TG_4_Book1" xfId="493"/>
    <cellStyle name="_KT_TG_4_Lora-tungchau" xfId="494"/>
    <cellStyle name="_KT_TG_4_Qt-HT3PQ1(CauKho)" xfId="495"/>
    <cellStyle name="_KT_TG_4_Qt-HT3PQ1(CauKho)_Book1" xfId="496"/>
    <cellStyle name="_KT_TG_4_Qt-HT3PQ1(CauKho)_Don gia quy 3 nam 2003 - Ban Dien Luc" xfId="497"/>
    <cellStyle name="_KT_TG_4_Qt-HT3PQ1(CauKho)_Kiem Tra Don Gia" xfId="498"/>
    <cellStyle name="_KT_TG_4_Qt-HT3PQ1(CauKho)_NC-VL2-2003" xfId="499"/>
    <cellStyle name="_KT_TG_4_Qt-HT3PQ1(CauKho)_NC-VL2-2003_1" xfId="500"/>
    <cellStyle name="_KT_TG_4_Qt-HT3PQ1(CauKho)_XL4Test5" xfId="501"/>
    <cellStyle name="_KT_TG_4_quy luong con lai nam 2004" xfId="502"/>
    <cellStyle name="_KT_TG_4_" xfId="503"/>
    <cellStyle name="_KT_TG_Book1" xfId="504"/>
    <cellStyle name="_KT_TG_DTDuong dong tien -sua tham tra 2009 - luong 650" xfId="505"/>
    <cellStyle name="_KT_TG_quy luong con lai nam 2004" xfId="506"/>
    <cellStyle name="_Lora-tungchau" xfId="507"/>
    <cellStyle name="_Lora-tungchau_Book1" xfId="508"/>
    <cellStyle name="_Lora-tungchau_Kiem Tra Don Gia" xfId="509"/>
    <cellStyle name="_Lora-tungchau_Kiem Tra Don Gia 2" xfId="510"/>
    <cellStyle name="_MauThanTKKT-goi7-DonGia2143(vl t7)" xfId="511"/>
    <cellStyle name="_Nhu cau von ung truoc 2011 Tha h Hoa + Nge An gui TW" xfId="512"/>
    <cellStyle name="_PERSONAL" xfId="513"/>
    <cellStyle name="_PERSONAL_Book1" xfId="514"/>
    <cellStyle name="_PERSONAL_HTQ.8 GD1" xfId="515"/>
    <cellStyle name="_PERSONAL_HTQ.8 GD1_Book1" xfId="516"/>
    <cellStyle name="_PERSONAL_HTQ.8 GD1_Don gia quy 3 nam 2003 - Ban Dien Luc" xfId="517"/>
    <cellStyle name="_PERSONAL_HTQ.8 GD1_NC-VL2-2003" xfId="518"/>
    <cellStyle name="_PERSONAL_HTQ.8 GD1_NC-VL2-2003_1" xfId="519"/>
    <cellStyle name="_PERSONAL_HTQ.8 GD1_XL4Test5" xfId="520"/>
    <cellStyle name="_PERSONAL_khoiluongbdacdoa" xfId="521"/>
    <cellStyle name="_PERSONAL_Tong hop KHCB 2001" xfId="522"/>
    <cellStyle name="_PERSONAL_" xfId="523"/>
    <cellStyle name="_Phu luc kem BC gui VP Bo (18.2)" xfId="524"/>
    <cellStyle name="_Q TOAN  SCTX QL.62 QUI I ( oanh)" xfId="525"/>
    <cellStyle name="_Q TOAN  SCTX QL.62 QUI II ( oanh)" xfId="526"/>
    <cellStyle name="_QT SCTXQL62_QT1 (Cty QL)" xfId="527"/>
    <cellStyle name="_Qt-HT3PQ1(CauKho)" xfId="528"/>
    <cellStyle name="_Qt-HT3PQ1(CauKho)_Book1" xfId="529"/>
    <cellStyle name="_Qt-HT3PQ1(CauKho)_Don gia quy 3 nam 2003 - Ban Dien Luc" xfId="530"/>
    <cellStyle name="_Qt-HT3PQ1(CauKho)_Kiem Tra Don Gia" xfId="531"/>
    <cellStyle name="_Qt-HT3PQ1(CauKho)_NC-VL2-2003" xfId="532"/>
    <cellStyle name="_Qt-HT3PQ1(CauKho)_NC-VL2-2003_1" xfId="533"/>
    <cellStyle name="_Qt-HT3PQ1(CauKho)_XL4Test5" xfId="534"/>
    <cellStyle name="_QT-LCTP-AE" xfId="535"/>
    <cellStyle name="_quy luong con lai nam 2004" xfId="536"/>
    <cellStyle name="_Sheet1" xfId="537"/>
    <cellStyle name="_Sheet2" xfId="538"/>
    <cellStyle name="_TG-TH" xfId="539"/>
    <cellStyle name="_TG-TH_1" xfId="540"/>
    <cellStyle name="_TG-TH_1_BANG TONG HOP TINH HINH THANH QUYET TOAN (MOI I)" xfId="541"/>
    <cellStyle name="_TG-TH_1_BAO CAO KLCT PT2000" xfId="542"/>
    <cellStyle name="_TG-TH_1_BAO CAO PT2000" xfId="543"/>
    <cellStyle name="_TG-TH_1_BAO CAO PT2000_Book1" xfId="544"/>
    <cellStyle name="_TG-TH_1_Bao cao XDCB 2001 - T11 KH dieu chinh 20-11-THAI" xfId="545"/>
    <cellStyle name="_TG-TH_1_BAO GIA NGAY 24-10-08 (co dam)" xfId="546"/>
    <cellStyle name="_TG-TH_1_Biểu KH 5 năm gửi UB sửa biểu VHXH" xfId="547"/>
    <cellStyle name="_TG-TH_1_Book1" xfId="548"/>
    <cellStyle name="_TG-TH_1_Book1_1" xfId="549"/>
    <cellStyle name="_TG-TH_1_Book1_1_Book1" xfId="550"/>
    <cellStyle name="_TG-TH_1_Book1_1_DanhMucDonGiaVTTB_Dien_TAM" xfId="551"/>
    <cellStyle name="_TG-TH_1_Book1_1_khoiluongbdacdoa" xfId="552"/>
    <cellStyle name="_TG-TH_1_Book1_2" xfId="553"/>
    <cellStyle name="_TG-TH_1_Book1_2_Book1" xfId="554"/>
    <cellStyle name="_TG-TH_1_Book1_3" xfId="555"/>
    <cellStyle name="_TG-TH_1_Book1_3_Book1" xfId="556"/>
    <cellStyle name="_TG-TH_1_Book1_3_DT truong thinh phu" xfId="557"/>
    <cellStyle name="_TG-TH_1_Book1_3_XL4Test5" xfId="558"/>
    <cellStyle name="_TG-TH_1_Book1_4" xfId="559"/>
    <cellStyle name="_TG-TH_1_Book1_BC-QT-WB-dthao" xfId="560"/>
    <cellStyle name="_TG-TH_1_Book1_Book1" xfId="561"/>
    <cellStyle name="_TG-TH_1_Book1_DanhMucDonGiaVTTB_Dien_TAM" xfId="562"/>
    <cellStyle name="_TG-TH_1_Book1_khoiluongbdacdoa" xfId="563"/>
    <cellStyle name="_TG-TH_1_Book1_Kiem Tra Don Gia" xfId="564"/>
    <cellStyle name="_TG-TH_1_Book1_Tong hop 3 tinh (11_5)-TTH-QN-QT" xfId="565"/>
    <cellStyle name="_TG-TH_1_Book1_" xfId="566"/>
    <cellStyle name="_TG-TH_1_CAU Khanh Nam(Thi Cong)" xfId="567"/>
    <cellStyle name="_TG-TH_1_DAU NOI PL-CL TAI PHU LAMHC" xfId="568"/>
    <cellStyle name="_TG-TH_1_Dcdtoan-bcnckt " xfId="569"/>
    <cellStyle name="_TG-TH_1_DN_MTP" xfId="570"/>
    <cellStyle name="_TG-TH_1_Dongia2-2003" xfId="571"/>
    <cellStyle name="_TG-TH_1_Dongia2-2003_DT truong thinh phu" xfId="572"/>
    <cellStyle name="_TG-TH_1_DT truong thinh phu" xfId="573"/>
    <cellStyle name="_TG-TH_1_DTCDT MR.2N110.HOCMON.TDTOAN.CCUNG" xfId="574"/>
    <cellStyle name="_TG-TH_1_DTDuong dong tien -sua tham tra 2009 - luong 650" xfId="575"/>
    <cellStyle name="_TG-TH_1_DU TRU VAT TU" xfId="576"/>
    <cellStyle name="_TG-TH_1_khoiluongbdacdoa" xfId="577"/>
    <cellStyle name="_TG-TH_1_Kiem Tra Don Gia" xfId="578"/>
    <cellStyle name="_TG-TH_1_Lora-tungchau" xfId="579"/>
    <cellStyle name="_TG-TH_1_moi" xfId="580"/>
    <cellStyle name="_TG-TH_1_PGIA-phieu tham tra Kho bac" xfId="581"/>
    <cellStyle name="_TG-TH_1_PT02-02" xfId="582"/>
    <cellStyle name="_TG-TH_1_PT02-02_Book1" xfId="583"/>
    <cellStyle name="_TG-TH_1_PT02-03" xfId="584"/>
    <cellStyle name="_TG-TH_1_PT02-03_Book1" xfId="585"/>
    <cellStyle name="_TG-TH_1_Qt-HT3PQ1(CauKho)" xfId="586"/>
    <cellStyle name="_TG-TH_1_Qt-HT3PQ1(CauKho)_Book1" xfId="587"/>
    <cellStyle name="_TG-TH_1_Qt-HT3PQ1(CauKho)_Don gia quy 3 nam 2003 - Ban Dien Luc" xfId="588"/>
    <cellStyle name="_TG-TH_1_Qt-HT3PQ1(CauKho)_Kiem Tra Don Gia" xfId="589"/>
    <cellStyle name="_TG-TH_1_Qt-HT3PQ1(CauKho)_NC-VL2-2003" xfId="590"/>
    <cellStyle name="_TG-TH_1_Qt-HT3PQ1(CauKho)_NC-VL2-2003_1" xfId="591"/>
    <cellStyle name="_TG-TH_1_Qt-HT3PQ1(CauKho)_XL4Test5" xfId="592"/>
    <cellStyle name="_TG-TH_1_QT-LCTP-AE" xfId="593"/>
    <cellStyle name="_TG-TH_1_Sheet2" xfId="594"/>
    <cellStyle name="_TG-TH_1_TEL OUT 2004" xfId="595"/>
    <cellStyle name="_TG-TH_1_Tong hop 3 tinh (11_5)-TTH-QN-QT" xfId="596"/>
    <cellStyle name="_TG-TH_1_XL4Poppy" xfId="597"/>
    <cellStyle name="_TG-TH_1_XL4Test5" xfId="598"/>
    <cellStyle name="_TG-TH_1_ÿÿÿÿÿ" xfId="599"/>
    <cellStyle name="_TG-TH_1_" xfId="600"/>
    <cellStyle name="_TG-TH_2" xfId="601"/>
    <cellStyle name="_TG-TH_2_BANG TONG HOP TINH HINH THANH QUYET TOAN (MOI I)" xfId="602"/>
    <cellStyle name="_TG-TH_2_BAO CAO KLCT PT2000" xfId="603"/>
    <cellStyle name="_TG-TH_2_BAO CAO PT2000" xfId="604"/>
    <cellStyle name="_TG-TH_2_BAO CAO PT2000_Book1" xfId="605"/>
    <cellStyle name="_TG-TH_2_Bao cao XDCB 2001 - T11 KH dieu chinh 20-11-THAI" xfId="606"/>
    <cellStyle name="_TG-TH_2_BAO GIA NGAY 24-10-08 (co dam)" xfId="607"/>
    <cellStyle name="_TG-TH_2_Biểu KH 5 năm gửi UB sửa biểu VHXH" xfId="608"/>
    <cellStyle name="_TG-TH_2_Book1" xfId="609"/>
    <cellStyle name="_TG-TH_2_Book1_1" xfId="610"/>
    <cellStyle name="_TG-TH_2_Book1_1_Book1" xfId="611"/>
    <cellStyle name="_TG-TH_2_Book1_1_DanhMucDonGiaVTTB_Dien_TAM" xfId="612"/>
    <cellStyle name="_TG-TH_2_Book1_1_khoiluongbdacdoa" xfId="613"/>
    <cellStyle name="_TG-TH_2_Book1_2" xfId="614"/>
    <cellStyle name="_TG-TH_2_Book1_2_Book1" xfId="615"/>
    <cellStyle name="_TG-TH_2_Book1_3" xfId="616"/>
    <cellStyle name="_TG-TH_2_Book1_3_Book1" xfId="617"/>
    <cellStyle name="_TG-TH_2_Book1_3_DT truong thinh phu" xfId="618"/>
    <cellStyle name="_TG-TH_2_Book1_3_XL4Test5" xfId="619"/>
    <cellStyle name="_TG-TH_2_Book1_4" xfId="620"/>
    <cellStyle name="_TG-TH_2_Book1_Book1" xfId="621"/>
    <cellStyle name="_TG-TH_2_Book1_DanhMucDonGiaVTTB_Dien_TAM" xfId="622"/>
    <cellStyle name="_TG-TH_2_Book1_khoiluongbdacdoa" xfId="623"/>
    <cellStyle name="_TG-TH_2_Book1_Kiem Tra Don Gia" xfId="624"/>
    <cellStyle name="_TG-TH_2_Book1_Tong hop 3 tinh (11_5)-TTH-QN-QT" xfId="625"/>
    <cellStyle name="_TG-TH_2_Book1_" xfId="626"/>
    <cellStyle name="_TG-TH_2_CAU Khanh Nam(Thi Cong)" xfId="627"/>
    <cellStyle name="_TG-TH_2_DAU NOI PL-CL TAI PHU LAMHC" xfId="628"/>
    <cellStyle name="_TG-TH_2_Dcdtoan-bcnckt " xfId="629"/>
    <cellStyle name="_TG-TH_2_DN_MTP" xfId="630"/>
    <cellStyle name="_TG-TH_2_Dongia2-2003" xfId="631"/>
    <cellStyle name="_TG-TH_2_Dongia2-2003_DT truong thinh phu" xfId="632"/>
    <cellStyle name="_TG-TH_2_DT truong thinh phu" xfId="633"/>
    <cellStyle name="_TG-TH_2_DTCDT MR.2N110.HOCMON.TDTOAN.CCUNG" xfId="634"/>
    <cellStyle name="_TG-TH_2_DTDuong dong tien -sua tham tra 2009 - luong 650" xfId="635"/>
    <cellStyle name="_TG-TH_2_DU TRU VAT TU" xfId="636"/>
    <cellStyle name="_TG-TH_2_khoiluongbdacdoa" xfId="637"/>
    <cellStyle name="_TG-TH_2_Kiem Tra Don Gia" xfId="638"/>
    <cellStyle name="_TG-TH_2_Lora-tungchau" xfId="639"/>
    <cellStyle name="_TG-TH_2_moi" xfId="640"/>
    <cellStyle name="_TG-TH_2_PGIA-phieu tham tra Kho bac" xfId="641"/>
    <cellStyle name="_TG-TH_2_PT02-02" xfId="642"/>
    <cellStyle name="_TG-TH_2_PT02-02_Book1" xfId="643"/>
    <cellStyle name="_TG-TH_2_PT02-03" xfId="644"/>
    <cellStyle name="_TG-TH_2_PT02-03_Book1" xfId="645"/>
    <cellStyle name="_TG-TH_2_Qt-HT3PQ1(CauKho)" xfId="646"/>
    <cellStyle name="_TG-TH_2_Qt-HT3PQ1(CauKho)_Book1" xfId="647"/>
    <cellStyle name="_TG-TH_2_Qt-HT3PQ1(CauKho)_Don gia quy 3 nam 2003 - Ban Dien Luc" xfId="648"/>
    <cellStyle name="_TG-TH_2_Qt-HT3PQ1(CauKho)_Kiem Tra Don Gia" xfId="649"/>
    <cellStyle name="_TG-TH_2_Qt-HT3PQ1(CauKho)_NC-VL2-2003" xfId="650"/>
    <cellStyle name="_TG-TH_2_Qt-HT3PQ1(CauKho)_NC-VL2-2003_1" xfId="651"/>
    <cellStyle name="_TG-TH_2_Qt-HT3PQ1(CauKho)_XL4Test5" xfId="652"/>
    <cellStyle name="_TG-TH_2_QT-LCTP-AE" xfId="653"/>
    <cellStyle name="_TG-TH_2_quy luong con lai nam 2004" xfId="654"/>
    <cellStyle name="_TG-TH_2_Sheet2" xfId="655"/>
    <cellStyle name="_TG-TH_2_TEL OUT 2004" xfId="656"/>
    <cellStyle name="_TG-TH_2_Tong hop 3 tinh (11_5)-TTH-QN-QT" xfId="657"/>
    <cellStyle name="_TG-TH_2_XL4Poppy" xfId="658"/>
    <cellStyle name="_TG-TH_2_XL4Test5" xfId="659"/>
    <cellStyle name="_TG-TH_2_ÿÿÿÿÿ" xfId="660"/>
    <cellStyle name="_TG-TH_2_" xfId="661"/>
    <cellStyle name="_TG-TH_3" xfId="662"/>
    <cellStyle name="_TG-TH_3_Book1" xfId="663"/>
    <cellStyle name="_TG-TH_3_Lora-tungchau" xfId="664"/>
    <cellStyle name="_TG-TH_3_Qt-HT3PQ1(CauKho)" xfId="665"/>
    <cellStyle name="_TG-TH_3_Qt-HT3PQ1(CauKho)_Book1" xfId="666"/>
    <cellStyle name="_TG-TH_3_Qt-HT3PQ1(CauKho)_Don gia quy 3 nam 2003 - Ban Dien Luc" xfId="667"/>
    <cellStyle name="_TG-TH_3_Qt-HT3PQ1(CauKho)_Kiem Tra Don Gia" xfId="668"/>
    <cellStyle name="_TG-TH_3_Qt-HT3PQ1(CauKho)_NC-VL2-2003" xfId="669"/>
    <cellStyle name="_TG-TH_3_Qt-HT3PQ1(CauKho)_NC-VL2-2003_1" xfId="670"/>
    <cellStyle name="_TG-TH_3_Qt-HT3PQ1(CauKho)_XL4Test5" xfId="671"/>
    <cellStyle name="_TG-TH_3_quy luong con lai nam 2004" xfId="672"/>
    <cellStyle name="_TG-TH_3_" xfId="673"/>
    <cellStyle name="_TG-TH_4" xfId="674"/>
    <cellStyle name="_TG-TH_4_Book1" xfId="675"/>
    <cellStyle name="_TG-TH_4_DTDuong dong tien -sua tham tra 2009 - luong 650" xfId="676"/>
    <cellStyle name="_TG-TH_4_quy luong con lai nam 2004" xfId="677"/>
    <cellStyle name="_TH KHAI TOAN THU THIEM cac tuyen TT noi" xfId="678"/>
    <cellStyle name="_TKP" xfId="679"/>
    <cellStyle name="_Tong dutoan PP LAHAI" xfId="680"/>
    <cellStyle name="_Tong hop 3 tinh (11_5)-TTH-QN-QT" xfId="681"/>
    <cellStyle name="_Tong hop may cheu nganh 1" xfId="682"/>
    <cellStyle name="_ung 2011 - 11-6-Thanh hoa-Nghe an" xfId="683"/>
    <cellStyle name="_ung truoc 2011 NSTW Thanh Hoa + Nge An gui Thu 12-5" xfId="684"/>
    <cellStyle name="_ung truoc cua long an (6-5-2010)" xfId="685"/>
    <cellStyle name="_ung von chinh thuc doan kiem tra TAY NAM BO" xfId="686"/>
    <cellStyle name="_Ung von nam 2011 vung TNB - Doan Cong tac (12-5-2010)" xfId="687"/>
    <cellStyle name="_Ung von nam 2011 vung TNB - Doan Cong tac (12-5-2010)_Copy of ghep 3 bieu trinh LD BO 28-6 (TPCP)" xfId="688"/>
    <cellStyle name="_ÿÿÿÿÿ" xfId="689"/>
    <cellStyle name="_ÿÿÿÿÿ_Kh ql62 (2010) 11-09" xfId="690"/>
    <cellStyle name="_" xfId="691"/>
    <cellStyle name="__1" xfId="692"/>
    <cellStyle name="__Bao gia TB Kon Dao 2010" xfId="693"/>
    <cellStyle name="~1" xfId="694"/>
    <cellStyle name="’Ê‰Ý [0.00]_laroux" xfId="695"/>
    <cellStyle name="’Ê‰Ý_laroux" xfId="696"/>
    <cellStyle name="•W?_Format" xfId="697"/>
    <cellStyle name="•W€_¯–ì" xfId="698"/>
    <cellStyle name="•W_¯–ì" xfId="699"/>
    <cellStyle name="W_MARINE" xfId="700"/>
    <cellStyle name="0" xfId="701"/>
    <cellStyle name="0 2" xfId="702"/>
    <cellStyle name="0 2 2" xfId="703"/>
    <cellStyle name="0 3" xfId="704"/>
    <cellStyle name="0 3 2" xfId="705"/>
    <cellStyle name="0 4" xfId="706"/>
    <cellStyle name="0.0" xfId="707"/>
    <cellStyle name="0.0 2" xfId="708"/>
    <cellStyle name="0.0 2 2" xfId="709"/>
    <cellStyle name="0.0 3" xfId="710"/>
    <cellStyle name="0.0 3 2" xfId="711"/>
    <cellStyle name="0.0 4" xfId="712"/>
    <cellStyle name="0.00" xfId="713"/>
    <cellStyle name="0.00 2" xfId="714"/>
    <cellStyle name="0.00 2 2" xfId="715"/>
    <cellStyle name="0.00 3" xfId="716"/>
    <cellStyle name="0.00 3 2" xfId="717"/>
    <cellStyle name="0.00 4" xfId="718"/>
    <cellStyle name="1" xfId="719"/>
    <cellStyle name="1_17 bieu (hung cap nhap)" xfId="720"/>
    <cellStyle name="1_17 bieu (hung cap nhap) 2" xfId="721"/>
    <cellStyle name="1_17 bieu (hung cap nhap) 2 2" xfId="2358"/>
    <cellStyle name="1_17 bieu (hung cap nhap) 3" xfId="722"/>
    <cellStyle name="1_17 bieu (hung cap nhap) 3 2" xfId="2359"/>
    <cellStyle name="1_17 bieu (hung cap nhap) 4" xfId="2357"/>
    <cellStyle name="1_2-Ha GiangBB2011-V1" xfId="723"/>
    <cellStyle name="1_50-BB Vung tau 2011" xfId="724"/>
    <cellStyle name="1_52-Long An2011.BB-V1" xfId="725"/>
    <cellStyle name="1_7 noi 48 goi C5 9 vi na" xfId="726"/>
    <cellStyle name="1_BANG KE VAT TU" xfId="727"/>
    <cellStyle name="1_Bao cao doan cong tac cua Bo thang 4-2010" xfId="728"/>
    <cellStyle name="1_Bao cao doan cong tac cua Bo thang 4-2010 2" xfId="729"/>
    <cellStyle name="1_Bao cao giai ngan von dau tu nam 2009 (theo doi)" xfId="730"/>
    <cellStyle name="1_Bao cao giai ngan von dau tu nam 2009 (theo doi) 2" xfId="731"/>
    <cellStyle name="1_Bao cao giai ngan von dau tu nam 2009 (theo doi)_Bao cao doan cong tac cua Bo thang 4-2010" xfId="732"/>
    <cellStyle name="1_Bao cao giai ngan von dau tu nam 2009 (theo doi)_Bao cao doan cong tac cua Bo thang 4-2010 2" xfId="733"/>
    <cellStyle name="1_Bao cao giai ngan von dau tu nam 2009 (theo doi)_Ke hoach 2009 (theo doi) -1" xfId="734"/>
    <cellStyle name="1_Bao cao giai ngan von dau tu nam 2009 (theo doi)_Ke hoach 2009 (theo doi) -1 2" xfId="735"/>
    <cellStyle name="1_Bao cao KP tu chu" xfId="736"/>
    <cellStyle name="1_BAO GIA NGAY 24-10-08 (co dam)" xfId="737"/>
    <cellStyle name="1_Bao gia TB Kon Dao 2010" xfId="738"/>
    <cellStyle name="1_Bao gia TB Kon Dao 2010 2" xfId="2360"/>
    <cellStyle name="1_BC 8 thang 2009 ve CT trong diem 5nam" xfId="739"/>
    <cellStyle name="1_BC 8 thang 2009 ve CT trong diem 5nam 2" xfId="740"/>
    <cellStyle name="1_BC 8 thang 2009 ve CT trong diem 5nam_Bao cao doan cong tac cua Bo thang 4-2010" xfId="741"/>
    <cellStyle name="1_BC 8 thang 2009 ve CT trong diem 5nam_Bao cao doan cong tac cua Bo thang 4-2010 2" xfId="742"/>
    <cellStyle name="1_BC 8 thang 2009 ve CT trong diem 5nam_bieu 01" xfId="743"/>
    <cellStyle name="1_BC 8 thang 2009 ve CT trong diem 5nam_bieu 01 2" xfId="744"/>
    <cellStyle name="1_BC 8 thang 2009 ve CT trong diem 5nam_bieu 01_Bao cao doan cong tac cua Bo thang 4-2010" xfId="745"/>
    <cellStyle name="1_BC 8 thang 2009 ve CT trong diem 5nam_bieu 01_Bao cao doan cong tac cua Bo thang 4-2010 2" xfId="746"/>
    <cellStyle name="1_BC nam 2007 (UB)" xfId="747"/>
    <cellStyle name="1_BC nam 2007 (UB) 2" xfId="748"/>
    <cellStyle name="1_BC nam 2007 (UB)_Bao cao doan cong tac cua Bo thang 4-2010" xfId="749"/>
    <cellStyle name="1_BC nam 2007 (UB)_Bao cao doan cong tac cua Bo thang 4-2010 2" xfId="750"/>
    <cellStyle name="1_bieu 1" xfId="751"/>
    <cellStyle name="1_bieu 2" xfId="752"/>
    <cellStyle name="1_bieu 4" xfId="753"/>
    <cellStyle name="1_bieu tong hop" xfId="754"/>
    <cellStyle name="1_Book1" xfId="755"/>
    <cellStyle name="1_Book1 2" xfId="2361"/>
    <cellStyle name="1_Book1_1" xfId="756"/>
    <cellStyle name="1_Book1_1 2" xfId="757"/>
    <cellStyle name="1_Book1_1_VBPL kiểm toán Đầu tư XDCB 2010" xfId="758"/>
    <cellStyle name="1_Book1_Bao cao doan cong tac cua Bo thang 4-2010" xfId="759"/>
    <cellStyle name="1_Book1_Bao cao doan cong tac cua Bo thang 4-2010 2" xfId="760"/>
    <cellStyle name="1_Book1_BL vu" xfId="761"/>
    <cellStyle name="1_Book1_Book1" xfId="762"/>
    <cellStyle name="1_Book1_Book1 2" xfId="763"/>
    <cellStyle name="1_Book1_Gia - Thanh An" xfId="764"/>
    <cellStyle name="1_Book1_VBPL kiểm toán Đầu tư XDCB 2010" xfId="765"/>
    <cellStyle name="1_Book2" xfId="766"/>
    <cellStyle name="1_Book2 2" xfId="767"/>
    <cellStyle name="1_Book2_Bao cao doan cong tac cua Bo thang 4-2010" xfId="768"/>
    <cellStyle name="1_Book2_Bao cao doan cong tac cua Bo thang 4-2010 2" xfId="769"/>
    <cellStyle name="1_Cau thuy dien Ban La (Cu Anh)" xfId="770"/>
    <cellStyle name="1_Copy of ghep 3 bieu trinh LD BO 28-6 (TPCP)" xfId="771"/>
    <cellStyle name="1_Danh sach gui BC thuc hien KH2009" xfId="772"/>
    <cellStyle name="1_Danh sach gui BC thuc hien KH2009 2" xfId="773"/>
    <cellStyle name="1_Danh sach gui BC thuc hien KH2009_Bao cao doan cong tac cua Bo thang 4-2010" xfId="774"/>
    <cellStyle name="1_Danh sach gui BC thuc hien KH2009_Bao cao doan cong tac cua Bo thang 4-2010 2" xfId="775"/>
    <cellStyle name="1_Danh sach gui BC thuc hien KH2009_Ke hoach 2009 (theo doi) -1" xfId="776"/>
    <cellStyle name="1_Danh sach gui BC thuc hien KH2009_Ke hoach 2009 (theo doi) -1 2" xfId="777"/>
    <cellStyle name="1_Don gia Du thau ( XL19)" xfId="778"/>
    <cellStyle name="1_Don gia Du thau ( XL19) 2" xfId="779"/>
    <cellStyle name="1_DT972000" xfId="780"/>
    <cellStyle name="1_dtCau Km3+429,21TL685" xfId="781"/>
    <cellStyle name="1_Dtdchinh2397" xfId="782"/>
    <cellStyle name="1_Du thau" xfId="783"/>
    <cellStyle name="1_Du toan 558 (Km17+508.12 - Km 22)" xfId="784"/>
    <cellStyle name="1_du toan lan 3" xfId="785"/>
    <cellStyle name="1_Gia - Thanh An" xfId="786"/>
    <cellStyle name="1_Gia - Thanh An 2" xfId="2362"/>
    <cellStyle name="1_Gia_VLQL48_duyet " xfId="787"/>
    <cellStyle name="1_GIA-DUTHAUsuaNS" xfId="788"/>
    <cellStyle name="1_GIA-DUTHAUsuaNS 2" xfId="2363"/>
    <cellStyle name="1_KH 2007 (theo doi)" xfId="789"/>
    <cellStyle name="1_KH 2007 (theo doi) 2" xfId="790"/>
    <cellStyle name="1_KH 2007 (theo doi)_Bao cao doan cong tac cua Bo thang 4-2010" xfId="791"/>
    <cellStyle name="1_KH 2007 (theo doi)_Bao cao doan cong tac cua Bo thang 4-2010 2" xfId="792"/>
    <cellStyle name="1_Kh ql62 (2010) 11-09" xfId="793"/>
    <cellStyle name="1_khoiluongbdacdoa" xfId="794"/>
    <cellStyle name="1_KL km 0-km3+300 dieu chinh 4-2008" xfId="795"/>
    <cellStyle name="1_KL km 0-km3+300 dieu chinh 4-2008 2" xfId="2364"/>
    <cellStyle name="1_KLNM 1303" xfId="796"/>
    <cellStyle name="1_KlQdinhduyet" xfId="797"/>
    <cellStyle name="1_LuuNgay17-03-2009Đơn KN Cục thuế" xfId="798"/>
    <cellStyle name="1_NTHOC" xfId="799"/>
    <cellStyle name="1_NTHOC 2" xfId="800"/>
    <cellStyle name="1_NTHOC_Tong hop theo doi von TPCP" xfId="801"/>
    <cellStyle name="1_NTHOC_Tong hop theo doi von TPCP 2" xfId="802"/>
    <cellStyle name="1_NTHOC_Tong hop theo doi von TPCP_Bao cao kiem toan kh 2010" xfId="803"/>
    <cellStyle name="1_NTHOC_Tong hop theo doi von TPCP_Bao cao kiem toan kh 2010 2" xfId="804"/>
    <cellStyle name="1_NTHOC_Tong hop theo doi von TPCP_Ke hoach 2010 (theo doi)2" xfId="805"/>
    <cellStyle name="1_NTHOC_Tong hop theo doi von TPCP_Ke hoach 2010 (theo doi)2 2" xfId="806"/>
    <cellStyle name="1_NTHOC_Tong hop theo doi von TPCP_QD UBND tinh" xfId="807"/>
    <cellStyle name="1_NTHOC_Tong hop theo doi von TPCP_QD UBND tinh 2" xfId="808"/>
    <cellStyle name="1_NTHOC_Tong hop theo doi von TPCP_Worksheet in D: My Documents Luc Van ban xu ly Nam 2011 Bao cao ra soat tam ung TPCP" xfId="809"/>
    <cellStyle name="1_NTHOC_Tong hop theo doi von TPCP_Worksheet in D: My Documents Luc Van ban xu ly Nam 2011 Bao cao ra soat tam ung TPCP 2" xfId="810"/>
    <cellStyle name="1_QT Thue GTGT 2008" xfId="811"/>
    <cellStyle name="1_QT Thue GTGT 2008 2" xfId="2365"/>
    <cellStyle name="1_Ra soat Giai ngan 2007 (dang lam)" xfId="812"/>
    <cellStyle name="1_Ra soat Giai ngan 2007 (dang lam) 2" xfId="813"/>
    <cellStyle name="1_Theo doi von TPCP (dang lam)" xfId="814"/>
    <cellStyle name="1_Theo doi von TPCP (dang lam) 2" xfId="815"/>
    <cellStyle name="1_Thong ke cong" xfId="816"/>
    <cellStyle name="1_thong ke giao dan sinh" xfId="817"/>
    <cellStyle name="1_TonghopKL_BOY-sual2" xfId="818"/>
    <cellStyle name="1_TRUNG PMU 5" xfId="819"/>
    <cellStyle name="1_VBPL kiểm toán Đầu tư XDCB 2010" xfId="820"/>
    <cellStyle name="1_VBPL kiểm toán Đầu tư XDCB 2010 2" xfId="2366"/>
    <cellStyle name="1_ÿÿÿÿÿ" xfId="821"/>
    <cellStyle name="1_ÿÿÿÿÿ 2" xfId="822"/>
    <cellStyle name="1_ÿÿÿÿÿ_Bieu tong hop nhu cau ung 2011 da chon loc -Mien nui" xfId="823"/>
    <cellStyle name="1_ÿÿÿÿÿ_Bieu tong hop nhu cau ung 2011 da chon loc -Mien nui 2" xfId="824"/>
    <cellStyle name="1_ÿÿÿÿÿ_Kh ql62 (2010) 11-09" xfId="825"/>
    <cellStyle name="1_ÿÿÿÿÿ_mau bieu doan giam sat 2010 (version 2)" xfId="826"/>
    <cellStyle name="1_ÿÿÿÿÿ_mau bieu doan giam sat 2010 (version 2) 2" xfId="827"/>
    <cellStyle name="1_ÿÿÿÿÿ_VBPL kiểm toán Đầu tư XDCB 2010" xfId="828"/>
    <cellStyle name="1_" xfId="829"/>
    <cellStyle name="15" xfId="830"/>
    <cellStyle name="18" xfId="831"/>
    <cellStyle name="¹éºÐÀ²_      " xfId="832"/>
    <cellStyle name="2" xfId="833"/>
    <cellStyle name="2_7 noi 48 goi C5 9 vi na" xfId="834"/>
    <cellStyle name="2_BL vu" xfId="835"/>
    <cellStyle name="2_Book1" xfId="836"/>
    <cellStyle name="2_Book1 2" xfId="837"/>
    <cellStyle name="2_Book1_1" xfId="838"/>
    <cellStyle name="2_Book1_Bao cao kiem toan kh 2010" xfId="839"/>
    <cellStyle name="2_Book1_Bao cao kiem toan kh 2010 2" xfId="840"/>
    <cellStyle name="2_Book1_Ke hoach 2010 (theo doi)2" xfId="841"/>
    <cellStyle name="2_Book1_Ke hoach 2010 (theo doi)2 2" xfId="842"/>
    <cellStyle name="2_Book1_QD UBND tinh" xfId="843"/>
    <cellStyle name="2_Book1_QD UBND tinh 2" xfId="844"/>
    <cellStyle name="2_Book1_VBPL kiểm toán Đầu tư XDCB 2010" xfId="845"/>
    <cellStyle name="2_Book1_Worksheet in D: My Documents Luc Van ban xu ly Nam 2011 Bao cao ra soat tam ung TPCP" xfId="846"/>
    <cellStyle name="2_Book1_Worksheet in D: My Documents Luc Van ban xu ly Nam 2011 Bao cao ra soat tam ung TPCP 2" xfId="847"/>
    <cellStyle name="2_Cau thuy dien Ban La (Cu Anh)" xfId="848"/>
    <cellStyle name="2_Dtdchinh2397" xfId="849"/>
    <cellStyle name="2_Du toan 558 (Km17+508.12 - Km 22)" xfId="850"/>
    <cellStyle name="2_Gia_VLQL48_duyet " xfId="851"/>
    <cellStyle name="2_KLNM 1303" xfId="852"/>
    <cellStyle name="2_KlQdinhduyet" xfId="853"/>
    <cellStyle name="2_NTHOC" xfId="854"/>
    <cellStyle name="2_NTHOC 2" xfId="855"/>
    <cellStyle name="2_NTHOC_Tong hop theo doi von TPCP" xfId="856"/>
    <cellStyle name="2_NTHOC_Tong hop theo doi von TPCP 2" xfId="857"/>
    <cellStyle name="2_NTHOC_Tong hop theo doi von TPCP_Bao cao kiem toan kh 2010" xfId="858"/>
    <cellStyle name="2_NTHOC_Tong hop theo doi von TPCP_Bao cao kiem toan kh 2010 2" xfId="859"/>
    <cellStyle name="2_NTHOC_Tong hop theo doi von TPCP_Ke hoach 2010 (theo doi)2" xfId="860"/>
    <cellStyle name="2_NTHOC_Tong hop theo doi von TPCP_Ke hoach 2010 (theo doi)2 2" xfId="861"/>
    <cellStyle name="2_NTHOC_Tong hop theo doi von TPCP_QD UBND tinh" xfId="862"/>
    <cellStyle name="2_NTHOC_Tong hop theo doi von TPCP_QD UBND tinh 2" xfId="863"/>
    <cellStyle name="2_NTHOC_Tong hop theo doi von TPCP_Worksheet in D: My Documents Luc Van ban xu ly Nam 2011 Bao cao ra soat tam ung TPCP" xfId="864"/>
    <cellStyle name="2_NTHOC_Tong hop theo doi von TPCP_Worksheet in D: My Documents Luc Van ban xu ly Nam 2011 Bao cao ra soat tam ung TPCP 2" xfId="865"/>
    <cellStyle name="2_Thong ke cong" xfId="866"/>
    <cellStyle name="2_thong ke giao dan sinh" xfId="867"/>
    <cellStyle name="2_Tong hop theo doi von TPCP" xfId="868"/>
    <cellStyle name="2_Tong hop theo doi von TPCP 2" xfId="869"/>
    <cellStyle name="2_Tong hop theo doi von TPCP_Bao cao kiem toan kh 2010" xfId="870"/>
    <cellStyle name="2_Tong hop theo doi von TPCP_Bao cao kiem toan kh 2010 2" xfId="871"/>
    <cellStyle name="2_Tong hop theo doi von TPCP_Ke hoach 2010 (theo doi)2" xfId="872"/>
    <cellStyle name="2_Tong hop theo doi von TPCP_Ke hoach 2010 (theo doi)2 2" xfId="873"/>
    <cellStyle name="2_Tong hop theo doi von TPCP_QD UBND tinh" xfId="874"/>
    <cellStyle name="2_Tong hop theo doi von TPCP_QD UBND tinh 2" xfId="875"/>
    <cellStyle name="2_Tong hop theo doi von TPCP_Worksheet in D: My Documents Luc Van ban xu ly Nam 2011 Bao cao ra soat tam ung TPCP" xfId="876"/>
    <cellStyle name="2_Tong hop theo doi von TPCP_Worksheet in D: My Documents Luc Van ban xu ly Nam 2011 Bao cao ra soat tam ung TPCP 2" xfId="877"/>
    <cellStyle name="2_TRUNG PMU 5" xfId="878"/>
    <cellStyle name="2_VBPL kiểm toán Đầu tư XDCB 2010" xfId="879"/>
    <cellStyle name="2_ÿÿÿÿÿ" xfId="880"/>
    <cellStyle name="2_ÿÿÿÿÿ_Bieu tong hop nhu cau ung 2011 da chon loc -Mien nui" xfId="881"/>
    <cellStyle name="2_ÿÿÿÿÿ_Bieu tong hop nhu cau ung 2011 da chon loc -Mien nui 2" xfId="882"/>
    <cellStyle name="2_ÿÿÿÿÿ_mau bieu doan giam sat 2010 (version 2)" xfId="883"/>
    <cellStyle name="2_ÿÿÿÿÿ_mau bieu doan giam sat 2010 (version 2) 2" xfId="884"/>
    <cellStyle name="20" xfId="885"/>
    <cellStyle name="20% - Accent1 2" xfId="886"/>
    <cellStyle name="20% - Accent1 3" xfId="887"/>
    <cellStyle name="20% - Accent2 2" xfId="888"/>
    <cellStyle name="20% - Accent2 3" xfId="889"/>
    <cellStyle name="20% - Accent3 2" xfId="890"/>
    <cellStyle name="20% - Accent3 3" xfId="891"/>
    <cellStyle name="20% - Accent4 2" xfId="892"/>
    <cellStyle name="20% - Accent4 3" xfId="893"/>
    <cellStyle name="20% - Accent5 2" xfId="894"/>
    <cellStyle name="20% - Accent5 3" xfId="895"/>
    <cellStyle name="20% - Accent6 2" xfId="896"/>
    <cellStyle name="20% - Accent6 3" xfId="897"/>
    <cellStyle name="20% - Nhấn1" xfId="898"/>
    <cellStyle name="20% - Nhấn2" xfId="899"/>
    <cellStyle name="20% - Nhấn3" xfId="900"/>
    <cellStyle name="20% - Nhấn4" xfId="901"/>
    <cellStyle name="20% - Nhấn5" xfId="902"/>
    <cellStyle name="20% - Nhấn6" xfId="903"/>
    <cellStyle name="-2001" xfId="904"/>
    <cellStyle name="3" xfId="905"/>
    <cellStyle name="3_7 noi 48 goi C5 9 vi na" xfId="906"/>
    <cellStyle name="3_Book1" xfId="907"/>
    <cellStyle name="3_Book1_1" xfId="908"/>
    <cellStyle name="3_Cau thuy dien Ban La (Cu Anh)" xfId="909"/>
    <cellStyle name="3_Dtdchinh2397" xfId="910"/>
    <cellStyle name="3_Du toan 558 (Km17+508.12 - Km 22)" xfId="911"/>
    <cellStyle name="3_Gia_VLQL48_duyet " xfId="912"/>
    <cellStyle name="3_KLNM 1303" xfId="913"/>
    <cellStyle name="3_KlQdinhduyet" xfId="914"/>
    <cellStyle name="3_Thong ke cong" xfId="915"/>
    <cellStyle name="3_thong ke giao dan sinh" xfId="916"/>
    <cellStyle name="3_VBPL kiểm toán Đầu tư XDCB 2010" xfId="917"/>
    <cellStyle name="3_ÿÿÿÿÿ" xfId="918"/>
    <cellStyle name="4" xfId="919"/>
    <cellStyle name="4_7 noi 48 goi C5 9 vi na" xfId="920"/>
    <cellStyle name="4_Book1" xfId="921"/>
    <cellStyle name="4_Book1_1" xfId="922"/>
    <cellStyle name="4_Cau thuy dien Ban La (Cu Anh)" xfId="923"/>
    <cellStyle name="4_Dtdchinh2397" xfId="924"/>
    <cellStyle name="4_Du toan 558 (Km17+508.12 - Km 22)" xfId="925"/>
    <cellStyle name="4_Gia_VLQL48_duyet " xfId="926"/>
    <cellStyle name="4_KLNM 1303" xfId="927"/>
    <cellStyle name="4_KlQdinhduyet" xfId="928"/>
    <cellStyle name="4_Thong ke cong" xfId="929"/>
    <cellStyle name="4_thong ke giao dan sinh" xfId="930"/>
    <cellStyle name="4_ÿÿÿÿÿ" xfId="931"/>
    <cellStyle name="40% - Accent1 2" xfId="932"/>
    <cellStyle name="40% - Accent1 3" xfId="933"/>
    <cellStyle name="40% - Accent2 2" xfId="934"/>
    <cellStyle name="40% - Accent2 3" xfId="935"/>
    <cellStyle name="40% - Accent3 2" xfId="936"/>
    <cellStyle name="40% - Accent3 3" xfId="937"/>
    <cellStyle name="40% - Accent4 2" xfId="938"/>
    <cellStyle name="40% - Accent4 3" xfId="939"/>
    <cellStyle name="40% - Accent5 2" xfId="940"/>
    <cellStyle name="40% - Accent5 3" xfId="941"/>
    <cellStyle name="40% - Accent6 2" xfId="942"/>
    <cellStyle name="40% - Accent6 3" xfId="943"/>
    <cellStyle name="40% - Nhấn1" xfId="944"/>
    <cellStyle name="40% - Nhấn2" xfId="945"/>
    <cellStyle name="40% - Nhấn3" xfId="946"/>
    <cellStyle name="40% - Nhấn4" xfId="947"/>
    <cellStyle name="40% - Nhấn5" xfId="948"/>
    <cellStyle name="40% - Nhấn6" xfId="949"/>
    <cellStyle name="6" xfId="950"/>
    <cellStyle name="6_Bieu mau ung 2011-Mien Trung-TPCP-11-6" xfId="951"/>
    <cellStyle name="6_Copy of ghep 3 bieu trinh LD BO 28-6 (TPCP)" xfId="952"/>
    <cellStyle name="6_DTDuong dong tien -sua tham tra 2009 - luong 650" xfId="953"/>
    <cellStyle name="6_Nhu cau tam ung NSNN&amp;TPCP&amp;ODA theo tieu chi cua Bo (CV410_BKH-TH)_vung Tay Nguyen (11.6.2010)" xfId="954"/>
    <cellStyle name="60% - Accent1 2" xfId="955"/>
    <cellStyle name="60% - Accent1 3" xfId="956"/>
    <cellStyle name="60% - Accent2 2" xfId="957"/>
    <cellStyle name="60% - Accent2 3" xfId="958"/>
    <cellStyle name="60% - Accent3 2" xfId="959"/>
    <cellStyle name="60% - Accent3 3" xfId="960"/>
    <cellStyle name="60% - Accent4 2" xfId="961"/>
    <cellStyle name="60% - Accent4 3" xfId="962"/>
    <cellStyle name="60% - Accent5 2" xfId="963"/>
    <cellStyle name="60% - Accent5 3" xfId="964"/>
    <cellStyle name="60% - Accent6 2" xfId="965"/>
    <cellStyle name="60% - Accent6 3" xfId="966"/>
    <cellStyle name="60% - Nhấn1" xfId="967"/>
    <cellStyle name="60% - Nhấn2" xfId="968"/>
    <cellStyle name="60% - Nhấn3" xfId="969"/>
    <cellStyle name="60% - Nhấn4" xfId="970"/>
    <cellStyle name="60% - Nhấn5" xfId="971"/>
    <cellStyle name="60% - Nhấn6" xfId="972"/>
    <cellStyle name="9" xfId="973"/>
    <cellStyle name="Accent1 2" xfId="974"/>
    <cellStyle name="Accent1 3" xfId="975"/>
    <cellStyle name="Accent2 2" xfId="976"/>
    <cellStyle name="Accent2 3" xfId="977"/>
    <cellStyle name="Accent3 2" xfId="978"/>
    <cellStyle name="Accent3 3" xfId="979"/>
    <cellStyle name="Accent4 2" xfId="980"/>
    <cellStyle name="Accent4 3" xfId="981"/>
    <cellStyle name="Accent5 2" xfId="982"/>
    <cellStyle name="Accent5 3" xfId="983"/>
    <cellStyle name="Accent6 2" xfId="984"/>
    <cellStyle name="Accent6 3" xfId="985"/>
    <cellStyle name="ÅëÈ­ [0]_      " xfId="986"/>
    <cellStyle name="AeE­ [0]_INQUIRY ¿?¾÷AßAø " xfId="987"/>
    <cellStyle name="ÅëÈ­ [0]_L601CPT" xfId="988"/>
    <cellStyle name="ÅëÈ­_      " xfId="989"/>
    <cellStyle name="AeE­_INQUIRY ¿?¾÷AßAø " xfId="990"/>
    <cellStyle name="ÅëÈ­_L601CPT" xfId="991"/>
    <cellStyle name="args.style" xfId="992"/>
    <cellStyle name="at" xfId="993"/>
    <cellStyle name="ÄÞ¸¶ [0]_      " xfId="994"/>
    <cellStyle name="AÞ¸¶ [0]_INQUIRY ¿?¾÷AßAø " xfId="995"/>
    <cellStyle name="ÄÞ¸¶ [0]_L601CPT" xfId="996"/>
    <cellStyle name="ÄÞ¸¶_      " xfId="997"/>
    <cellStyle name="AÞ¸¶_INQUIRY ¿?¾÷AßAø " xfId="998"/>
    <cellStyle name="ÄÞ¸¶_L601CPT" xfId="999"/>
    <cellStyle name="AutoFormat Options" xfId="1000"/>
    <cellStyle name="AutoFormat-Optionen" xfId="1001"/>
    <cellStyle name="AutoFormat-Optionen 2" xfId="1002"/>
    <cellStyle name="AutoFormat-Optionen 2 2" xfId="4"/>
    <cellStyle name="AutoFormat-Optionen 2 2 2" xfId="2287"/>
    <cellStyle name="AutoFormat-Optionen 2 3" xfId="2286"/>
    <cellStyle name="AutoFormat-Optionen 3" xfId="1003"/>
    <cellStyle name="AutoFormat-Optionen 4" xfId="1004"/>
    <cellStyle name="AutoFormat-Optionen_2. Du toan chi tiet nam 2018" xfId="1005"/>
    <cellStyle name="Bad 2" xfId="1006"/>
    <cellStyle name="Bad 3" xfId="1007"/>
    <cellStyle name="Body" xfId="1008"/>
    <cellStyle name="C?AØ_¿?¾÷CoE² " xfId="1009"/>
    <cellStyle name="C~1" xfId="1010"/>
    <cellStyle name="Ç¥ÁØ_      " xfId="1011"/>
    <cellStyle name="C￥AØ_¿μ¾÷CoE² " xfId="1012"/>
    <cellStyle name="Ç¥ÁØ_±¸¹Ì´ëÃ¥" xfId="1013"/>
    <cellStyle name="C￥AØ_Sheet1_¿μ¾÷CoE² " xfId="1014"/>
    <cellStyle name="Ç¥ÁØ_ÿÿÿÿÿÿ_4_ÃÑÇÕ°è " xfId="1015"/>
    <cellStyle name="Calc Currency (0)" xfId="1016"/>
    <cellStyle name="Calc Currency (2)" xfId="1017"/>
    <cellStyle name="Calc Percent (0)" xfId="1018"/>
    <cellStyle name="Calc Percent (1)" xfId="1019"/>
    <cellStyle name="Calc Percent (2)" xfId="1020"/>
    <cellStyle name="Calc Units (0)" xfId="1021"/>
    <cellStyle name="Calc Units (1)" xfId="1022"/>
    <cellStyle name="Calc Units (2)" xfId="1023"/>
    <cellStyle name="Calculation 2" xfId="1024"/>
    <cellStyle name="Calculation 2 2" xfId="1025"/>
    <cellStyle name="Calculation 3" xfId="1026"/>
    <cellStyle name="category" xfId="1027"/>
    <cellStyle name="Cerrency_Sheet2_XANGDAU" xfId="1028"/>
    <cellStyle name="Check Cell 2" xfId="1029"/>
    <cellStyle name="Check Cell 3" xfId="1030"/>
    <cellStyle name="Chi phÝ kh¸c_Book1" xfId="1031"/>
    <cellStyle name="chu" xfId="1032"/>
    <cellStyle name="CHUONG" xfId="1033"/>
    <cellStyle name="CHUONG 2" xfId="1034"/>
    <cellStyle name="CHUONG 2 2" xfId="1035"/>
    <cellStyle name="CHUONG 3" xfId="1036"/>
    <cellStyle name="Co?ma_Sheet1" xfId="1037"/>
    <cellStyle name="Comma" xfId="1" builtinId="3"/>
    <cellStyle name="Comma  - Style1" xfId="1038"/>
    <cellStyle name="Comma  - Style2" xfId="1039"/>
    <cellStyle name="Comma  - Style3" xfId="1040"/>
    <cellStyle name="Comma  - Style4" xfId="1041"/>
    <cellStyle name="Comma  - Style5" xfId="1042"/>
    <cellStyle name="Comma  - Style6" xfId="1043"/>
    <cellStyle name="Comma  - Style7" xfId="1044"/>
    <cellStyle name="Comma  - Style8" xfId="1045"/>
    <cellStyle name="Comma [0] 2" xfId="1046"/>
    <cellStyle name="Comma [0] 2 10" xfId="1047"/>
    <cellStyle name="Comma [0] 3" xfId="1048"/>
    <cellStyle name="Comma [0] 4" xfId="1049"/>
    <cellStyle name="Comma [0] 5" xfId="1050"/>
    <cellStyle name="Comma [0] 8 2" xfId="1051"/>
    <cellStyle name="Comma [00]" xfId="1052"/>
    <cellStyle name="Comma 10" xfId="1053"/>
    <cellStyle name="Comma 10 10" xfId="1054"/>
    <cellStyle name="Comma 10 2" xfId="2"/>
    <cellStyle name="Comma 10 2 2" xfId="1055"/>
    <cellStyle name="Comma 10 3" xfId="3"/>
    <cellStyle name="Comma 10 3 2" xfId="2271"/>
    <cellStyle name="Comma 10 3 3" xfId="2288"/>
    <cellStyle name="Comma 10 4" xfId="2274"/>
    <cellStyle name="Comma 11" xfId="1056"/>
    <cellStyle name="Comma 11 2" xfId="2332"/>
    <cellStyle name="Comma 11 3" xfId="2307"/>
    <cellStyle name="Comma 12" xfId="1057"/>
    <cellStyle name="Comma 13" xfId="1058"/>
    <cellStyle name="Comma 14" xfId="1059"/>
    <cellStyle name="Comma 14 2" xfId="2326"/>
    <cellStyle name="Comma 14 3" xfId="1060"/>
    <cellStyle name="Comma 14 4" xfId="2312"/>
    <cellStyle name="Comma 15" xfId="1061"/>
    <cellStyle name="Comma 15 2" xfId="2321"/>
    <cellStyle name="Comma 15 2 2" xfId="2323"/>
    <cellStyle name="Comma 15 3" xfId="2318"/>
    <cellStyle name="Comma 16" xfId="1062"/>
    <cellStyle name="Comma 16 2" xfId="1063"/>
    <cellStyle name="Comma 16 2 2" xfId="2289"/>
    <cellStyle name="Comma 16 3" xfId="2275"/>
    <cellStyle name="Comma 16 3 3 2 2" xfId="1064"/>
    <cellStyle name="Comma 17" xfId="1065"/>
    <cellStyle name="Comma 18" xfId="1066"/>
    <cellStyle name="Comma 19" xfId="1067"/>
    <cellStyle name="Comma 2" xfId="5"/>
    <cellStyle name="Comma 2 2" xfId="1068"/>
    <cellStyle name="Comma 2 2 2" xfId="2277"/>
    <cellStyle name="Comma 2 2 2 10" xfId="1069"/>
    <cellStyle name="Comma 2 2 2 2" xfId="2291"/>
    <cellStyle name="Comma 2 2 3" xfId="2290"/>
    <cellStyle name="Comma 2 28" xfId="1070"/>
    <cellStyle name="Comma 2 3" xfId="1071"/>
    <cellStyle name="Comma 2 3 2" xfId="1072"/>
    <cellStyle name="Comma 2 3 3" xfId="1073"/>
    <cellStyle name="Comma 2 4" xfId="1074"/>
    <cellStyle name="Comma 2 4 2" xfId="2283"/>
    <cellStyle name="Comma 2 4 3" xfId="2278"/>
    <cellStyle name="Comma 2 5" xfId="1075"/>
    <cellStyle name="Comma 2 6" xfId="2276"/>
    <cellStyle name="Comma 2_bieu 1" xfId="1076"/>
    <cellStyle name="Comma 20" xfId="1077"/>
    <cellStyle name="Comma 20 2" xfId="1078"/>
    <cellStyle name="Comma 20 2 2" xfId="2315"/>
    <cellStyle name="Comma 20 2 2 2" xfId="2345"/>
    <cellStyle name="Comma 20 2 3" xfId="2343"/>
    <cellStyle name="Comma 20 2 4" xfId="2311"/>
    <cellStyle name="Comma 20 3" xfId="2333"/>
    <cellStyle name="Comma 20 4" xfId="2284"/>
    <cellStyle name="Comma 21" xfId="1079"/>
    <cellStyle name="Comma 21 2" xfId="1080"/>
    <cellStyle name="Comma 21 2 2" xfId="1081"/>
    <cellStyle name="Comma 21 3" xfId="1082"/>
    <cellStyle name="Comma 21 3 2" xfId="1083"/>
    <cellStyle name="Comma 21 4" xfId="1084"/>
    <cellStyle name="Comma 21 4 2" xfId="1085"/>
    <cellStyle name="Comma 21 5" xfId="1086"/>
    <cellStyle name="Comma 21 6" xfId="1087"/>
    <cellStyle name="Comma 22" xfId="1088"/>
    <cellStyle name="Comma 22 2" xfId="1089"/>
    <cellStyle name="Comma 22 2 2" xfId="2367"/>
    <cellStyle name="Comma 22 3" xfId="1090"/>
    <cellStyle name="Comma 23" xfId="1091"/>
    <cellStyle name="Comma 23 2" xfId="9"/>
    <cellStyle name="Comma 23 3" xfId="2368"/>
    <cellStyle name="Comma 24" xfId="1092"/>
    <cellStyle name="Comma 25" xfId="1093"/>
    <cellStyle name="Comma 25 2" xfId="1094"/>
    <cellStyle name="Comma 26" xfId="1095"/>
    <cellStyle name="Comma 27" xfId="1096"/>
    <cellStyle name="Comma 27 2" xfId="2369"/>
    <cellStyle name="Comma 28" xfId="1097"/>
    <cellStyle name="Comma 28 2" xfId="2370"/>
    <cellStyle name="Comma 29" xfId="1098"/>
    <cellStyle name="Comma 3" xfId="1099"/>
    <cellStyle name="Comma 3 2" xfId="1100"/>
    <cellStyle name="Comma 3 2 2" xfId="2310"/>
    <cellStyle name="Comma 3 2 3" xfId="2292"/>
    <cellStyle name="Comma 3 3" xfId="1101"/>
    <cellStyle name="Comma 3 4" xfId="2279"/>
    <cellStyle name="Comma 3_VBPL kiểm toán Đầu tư XDCB 2010" xfId="1102"/>
    <cellStyle name="Comma 30" xfId="1103"/>
    <cellStyle name="Comma 31" xfId="1104"/>
    <cellStyle name="Comma 32" xfId="1105"/>
    <cellStyle name="Comma 33" xfId="1106"/>
    <cellStyle name="Comma 34" xfId="2273"/>
    <cellStyle name="Comma 4" xfId="1107"/>
    <cellStyle name="Comma 4 2" xfId="1108"/>
    <cellStyle name="Comma 4 2 2" xfId="2293"/>
    <cellStyle name="Comma 4 20" xfId="1109"/>
    <cellStyle name="Comma 4 3" xfId="2280"/>
    <cellStyle name="Comma 4_Bieu mau KH 2011 (gui Vu DP)" xfId="1110"/>
    <cellStyle name="Comma 41" xfId="2322"/>
    <cellStyle name="Comma 41 2" xfId="2347"/>
    <cellStyle name="Comma 43" xfId="2324"/>
    <cellStyle name="Comma 43 2" xfId="2348"/>
    <cellStyle name="Comma 5" xfId="1111"/>
    <cellStyle name="Comma 5 2" xfId="1112"/>
    <cellStyle name="Comma 5 2 2" xfId="2346"/>
    <cellStyle name="Comma 5 3" xfId="2320"/>
    <cellStyle name="Comma 53" xfId="2325"/>
    <cellStyle name="Comma 53 2" xfId="1113"/>
    <cellStyle name="Comma 53 2 2" xfId="2349"/>
    <cellStyle name="Comma 6" xfId="1114"/>
    <cellStyle name="Comma 6 2" xfId="1115"/>
    <cellStyle name="Comma 6 3" xfId="2328"/>
    <cellStyle name="Comma 7" xfId="1116"/>
    <cellStyle name="Comma 8" xfId="1117"/>
    <cellStyle name="Comma 8 2" xfId="1118"/>
    <cellStyle name="Comma 9" xfId="1119"/>
    <cellStyle name="comma zerodec" xfId="1120"/>
    <cellStyle name="Comma0" xfId="1121"/>
    <cellStyle name="Comma0 - Modelo1" xfId="1122"/>
    <cellStyle name="Comma0 - Style1" xfId="1123"/>
    <cellStyle name="Comma0 2" xfId="1124"/>
    <cellStyle name="Comma0 3" xfId="1125"/>
    <cellStyle name="Comma0 4" xfId="1126"/>
    <cellStyle name="Comma0_Book1" xfId="1127"/>
    <cellStyle name="Comma1 - Modelo2" xfId="1128"/>
    <cellStyle name="Comma1 - Style2" xfId="1129"/>
    <cellStyle name="cong" xfId="1130"/>
    <cellStyle name="Copied" xfId="1131"/>
    <cellStyle name="Cࡵrrency_Sheet1_PRODUCTĠ" xfId="1132"/>
    <cellStyle name="Currency [00]" xfId="1133"/>
    <cellStyle name="Currency 2" xfId="1134"/>
    <cellStyle name="Currency 3" xfId="1135"/>
    <cellStyle name="Currency0" xfId="1136"/>
    <cellStyle name="Currency0 2" xfId="1137"/>
    <cellStyle name="Currency0 2 2" xfId="1138"/>
    <cellStyle name="Currency0 2 3" xfId="1139"/>
    <cellStyle name="Currency0 2 4" xfId="1140"/>
    <cellStyle name="Currency0 2_Khoi cong moi 1" xfId="1141"/>
    <cellStyle name="Currency0 3" xfId="1142"/>
    <cellStyle name="Currency0 4" xfId="1143"/>
    <cellStyle name="Currency0 5" xfId="1144"/>
    <cellStyle name="Currency0 6" xfId="1145"/>
    <cellStyle name="Currency0_Book1" xfId="1146"/>
    <cellStyle name="Currency1" xfId="1147"/>
    <cellStyle name="D1" xfId="1148"/>
    <cellStyle name="Date" xfId="1149"/>
    <cellStyle name="Date 2" xfId="1150"/>
    <cellStyle name="Date 3" xfId="1151"/>
    <cellStyle name="Date Short" xfId="1152"/>
    <cellStyle name="Date_17 bieu (hung cap nhap)" xfId="1153"/>
    <cellStyle name="Đầu ra" xfId="1154"/>
    <cellStyle name="Đầu ra 2" xfId="1155"/>
    <cellStyle name="Đầu vào" xfId="1156"/>
    <cellStyle name="Đầu vào 2" xfId="1157"/>
    <cellStyle name="DAUDE" xfId="1158"/>
    <cellStyle name="Đề mục 1" xfId="1159"/>
    <cellStyle name="Đề mục 2" xfId="1160"/>
    <cellStyle name="Đề mục 3" xfId="1161"/>
    <cellStyle name="Đề mục 4" xfId="1162"/>
    <cellStyle name="Decimal" xfId="1163"/>
    <cellStyle name="Decimal 2" xfId="1164"/>
    <cellStyle name="Decimal 3" xfId="1165"/>
    <cellStyle name="Decimal 4" xfId="1166"/>
    <cellStyle name="DELTA" xfId="1167"/>
    <cellStyle name="Dezimal [0]_35ERI8T2gbIEMixb4v26icuOo" xfId="1168"/>
    <cellStyle name="Dezimal_35ERI8T2gbIEMixb4v26icuOo" xfId="1169"/>
    <cellStyle name="Dg" xfId="1170"/>
    <cellStyle name="Dgia" xfId="1171"/>
    <cellStyle name="Dgia 2" xfId="1172"/>
    <cellStyle name="Dia" xfId="1173"/>
    <cellStyle name="Dollar (zero dec)" xfId="1174"/>
    <cellStyle name="Don gia" xfId="1175"/>
    <cellStyle name="DuToanBXD" xfId="1176"/>
    <cellStyle name="DuToanBXD 2" xfId="1177"/>
    <cellStyle name="Dziesi?tny [0]_Invoices2001Slovakia" xfId="1178"/>
    <cellStyle name="Dziesi?tny_Invoices2001Slovakia" xfId="1179"/>
    <cellStyle name="Dziesietny [0]_Invoices2001Slovakia" xfId="1180"/>
    <cellStyle name="Dziesiętny [0]_Invoices2001Slovakia" xfId="1181"/>
    <cellStyle name="Dziesietny [0]_Invoices2001Slovakia_01_Nha so 1_Dien" xfId="1182"/>
    <cellStyle name="Dziesiętny [0]_Invoices2001Slovakia_01_Nha so 1_Dien" xfId="1183"/>
    <cellStyle name="Dziesietny [0]_Invoices2001Slovakia_10_Nha so 10_Dien1" xfId="1184"/>
    <cellStyle name="Dziesiętny [0]_Invoices2001Slovakia_10_Nha so 10_Dien1" xfId="1185"/>
    <cellStyle name="Dziesietny [0]_Invoices2001Slovakia_Book1" xfId="1186"/>
    <cellStyle name="Dziesiętny [0]_Invoices2001Slovakia_Book1" xfId="1187"/>
    <cellStyle name="Dziesietny [0]_Invoices2001Slovakia_Book1_1" xfId="1188"/>
    <cellStyle name="Dziesiętny [0]_Invoices2001Slovakia_Book1_1" xfId="1189"/>
    <cellStyle name="Dziesietny [0]_Invoices2001Slovakia_Book1_1_Book1" xfId="1190"/>
    <cellStyle name="Dziesiętny [0]_Invoices2001Slovakia_Book1_1_Book1" xfId="1191"/>
    <cellStyle name="Dziesietny [0]_Invoices2001Slovakia_Book1_2" xfId="1192"/>
    <cellStyle name="Dziesiętny [0]_Invoices2001Slovakia_Book1_2" xfId="1193"/>
    <cellStyle name="Dziesietny [0]_Invoices2001Slovakia_Book1_Nhu cau von ung truoc 2011 Tha h Hoa + Nge An gui TW" xfId="1194"/>
    <cellStyle name="Dziesiętny [0]_Invoices2001Slovakia_Book1_Nhu cau von ung truoc 2011 Tha h Hoa + Nge An gui TW" xfId="1195"/>
    <cellStyle name="Dziesietny [0]_Invoices2001Slovakia_Book1_Tong hop Cac tuyen(9-1-06)" xfId="1196"/>
    <cellStyle name="Dziesiętny [0]_Invoices2001Slovakia_Book1_Tong hop Cac tuyen(9-1-06)" xfId="1197"/>
    <cellStyle name="Dziesietny [0]_Invoices2001Slovakia_Book1_ung 2011 - 11-6-Thanh hoa-Nghe an" xfId="1198"/>
    <cellStyle name="Dziesiętny [0]_Invoices2001Slovakia_Book1_ung 2011 - 11-6-Thanh hoa-Nghe an" xfId="1199"/>
    <cellStyle name="Dziesietny [0]_Invoices2001Slovakia_Book1_ung truoc 2011 NSTW Thanh Hoa + Nge An gui Thu 12-5" xfId="1200"/>
    <cellStyle name="Dziesiętny [0]_Invoices2001Slovakia_Book1_ung truoc 2011 NSTW Thanh Hoa + Nge An gui Thu 12-5" xfId="1201"/>
    <cellStyle name="Dziesietny [0]_Invoices2001Slovakia_d-uong+TDT" xfId="1202"/>
    <cellStyle name="Dziesiętny [0]_Invoices2001Slovakia_Nhµ ®Ó xe" xfId="1203"/>
    <cellStyle name="Dziesietny [0]_Invoices2001Slovakia_Nha bao ve(28-7-05)" xfId="1204"/>
    <cellStyle name="Dziesiętny [0]_Invoices2001Slovakia_Nha bao ve(28-7-05)" xfId="1205"/>
    <cellStyle name="Dziesietny [0]_Invoices2001Slovakia_NHA de xe nguyen du" xfId="1206"/>
    <cellStyle name="Dziesiętny [0]_Invoices2001Slovakia_NHA de xe nguyen du" xfId="1207"/>
    <cellStyle name="Dziesietny [0]_Invoices2001Slovakia_Nhalamviec VTC(25-1-05)" xfId="1208"/>
    <cellStyle name="Dziesiętny [0]_Invoices2001Slovakia_Nhalamviec VTC(25-1-05)" xfId="1209"/>
    <cellStyle name="Dziesietny [0]_Invoices2001Slovakia_Nhu cau von ung truoc 2011 Tha h Hoa + Nge An gui TW" xfId="1210"/>
    <cellStyle name="Dziesiętny [0]_Invoices2001Slovakia_TDT KHANH HOA" xfId="1211"/>
    <cellStyle name="Dziesietny [0]_Invoices2001Slovakia_TDT KHANH HOA_Tong hop Cac tuyen(9-1-06)" xfId="1212"/>
    <cellStyle name="Dziesiętny [0]_Invoices2001Slovakia_TDT KHANH HOA_Tong hop Cac tuyen(9-1-06)" xfId="1213"/>
    <cellStyle name="Dziesietny [0]_Invoices2001Slovakia_TDT quangngai" xfId="1214"/>
    <cellStyle name="Dziesiętny [0]_Invoices2001Slovakia_TDT quangngai" xfId="1215"/>
    <cellStyle name="Dziesietny [0]_Invoices2001Slovakia_TMDT(10-5-06)" xfId="1216"/>
    <cellStyle name="Dziesietny_Invoices2001Slovakia" xfId="1217"/>
    <cellStyle name="Dziesiętny_Invoices2001Slovakia" xfId="1218"/>
    <cellStyle name="Dziesietny_Invoices2001Slovakia_01_Nha so 1_Dien" xfId="1219"/>
    <cellStyle name="Dziesiętny_Invoices2001Slovakia_01_Nha so 1_Dien" xfId="1220"/>
    <cellStyle name="Dziesietny_Invoices2001Slovakia_10_Nha so 10_Dien1" xfId="1221"/>
    <cellStyle name="Dziesiętny_Invoices2001Slovakia_10_Nha so 10_Dien1" xfId="1222"/>
    <cellStyle name="Dziesietny_Invoices2001Slovakia_Book1" xfId="1223"/>
    <cellStyle name="Dziesiętny_Invoices2001Slovakia_Book1" xfId="1224"/>
    <cellStyle name="Dziesietny_Invoices2001Slovakia_Book1_1" xfId="1225"/>
    <cellStyle name="Dziesiętny_Invoices2001Slovakia_Book1_1" xfId="1226"/>
    <cellStyle name="Dziesietny_Invoices2001Slovakia_Book1_1_Book1" xfId="1227"/>
    <cellStyle name="Dziesiętny_Invoices2001Slovakia_Book1_1_Book1" xfId="1228"/>
    <cellStyle name="Dziesietny_Invoices2001Slovakia_Book1_2" xfId="1229"/>
    <cellStyle name="Dziesiętny_Invoices2001Slovakia_Book1_2" xfId="1230"/>
    <cellStyle name="Dziesietny_Invoices2001Slovakia_Book1_Nhu cau von ung truoc 2011 Tha h Hoa + Nge An gui TW" xfId="1231"/>
    <cellStyle name="Dziesiętny_Invoices2001Slovakia_Book1_Nhu cau von ung truoc 2011 Tha h Hoa + Nge An gui TW" xfId="1232"/>
    <cellStyle name="Dziesietny_Invoices2001Slovakia_Book1_Tong hop Cac tuyen(9-1-06)" xfId="1233"/>
    <cellStyle name="Dziesiętny_Invoices2001Slovakia_Book1_Tong hop Cac tuyen(9-1-06)" xfId="1234"/>
    <cellStyle name="Dziesietny_Invoices2001Slovakia_Book1_ung 2011 - 11-6-Thanh hoa-Nghe an" xfId="1235"/>
    <cellStyle name="Dziesiętny_Invoices2001Slovakia_Book1_ung 2011 - 11-6-Thanh hoa-Nghe an" xfId="1236"/>
    <cellStyle name="Dziesietny_Invoices2001Slovakia_Book1_ung truoc 2011 NSTW Thanh Hoa + Nge An gui Thu 12-5" xfId="1237"/>
    <cellStyle name="Dziesiętny_Invoices2001Slovakia_Book1_ung truoc 2011 NSTW Thanh Hoa + Nge An gui Thu 12-5" xfId="1238"/>
    <cellStyle name="Dziesietny_Invoices2001Slovakia_d-uong+TDT" xfId="1239"/>
    <cellStyle name="Dziesiętny_Invoices2001Slovakia_Nhµ ®Ó xe" xfId="1240"/>
    <cellStyle name="Dziesietny_Invoices2001Slovakia_Nha bao ve(28-7-05)" xfId="1241"/>
    <cellStyle name="Dziesiętny_Invoices2001Slovakia_Nha bao ve(28-7-05)" xfId="1242"/>
    <cellStyle name="Dziesietny_Invoices2001Slovakia_NHA de xe nguyen du" xfId="1243"/>
    <cellStyle name="Dziesiętny_Invoices2001Slovakia_NHA de xe nguyen du" xfId="1244"/>
    <cellStyle name="Dziesietny_Invoices2001Slovakia_Nhalamviec VTC(25-1-05)" xfId="1245"/>
    <cellStyle name="Dziesiętny_Invoices2001Slovakia_Nhalamviec VTC(25-1-05)" xfId="1246"/>
    <cellStyle name="Dziesietny_Invoices2001Slovakia_Nhu cau von ung truoc 2011 Tha h Hoa + Nge An gui TW" xfId="1247"/>
    <cellStyle name="Dziesiętny_Invoices2001Slovakia_TDT KHANH HOA" xfId="1248"/>
    <cellStyle name="Dziesietny_Invoices2001Slovakia_TDT KHANH HOA_Tong hop Cac tuyen(9-1-06)" xfId="1249"/>
    <cellStyle name="Dziesiętny_Invoices2001Slovakia_TDT KHANH HOA_Tong hop Cac tuyen(9-1-06)" xfId="1250"/>
    <cellStyle name="Dziesietny_Invoices2001Slovakia_TDT quangngai" xfId="1251"/>
    <cellStyle name="Dziesiętny_Invoices2001Slovakia_TDT quangngai" xfId="1252"/>
    <cellStyle name="Dziesietny_Invoices2001Slovakia_TMDT(10-5-06)" xfId="1253"/>
    <cellStyle name="e" xfId="1254"/>
    <cellStyle name="Encabez1" xfId="1255"/>
    <cellStyle name="Encabez2" xfId="1256"/>
    <cellStyle name="Enter Currency (0)" xfId="1257"/>
    <cellStyle name="Enter Currency (2)" xfId="1258"/>
    <cellStyle name="Enter Units (0)" xfId="1259"/>
    <cellStyle name="Enter Units (1)" xfId="1260"/>
    <cellStyle name="Enter Units (2)" xfId="1261"/>
    <cellStyle name="Entered" xfId="1262"/>
    <cellStyle name="En-tete1" xfId="1263"/>
    <cellStyle name="En-tete1 2" xfId="1264"/>
    <cellStyle name="En-tete2" xfId="1265"/>
    <cellStyle name="En-tete2 2" xfId="1266"/>
    <cellStyle name="Euro" xfId="1267"/>
    <cellStyle name="Explanatory Text 2" xfId="1268"/>
    <cellStyle name="Explanatory Text 3" xfId="1269"/>
    <cellStyle name="f" xfId="1270"/>
    <cellStyle name="F2" xfId="1271"/>
    <cellStyle name="F3" xfId="1272"/>
    <cellStyle name="F4" xfId="1273"/>
    <cellStyle name="F5" xfId="1274"/>
    <cellStyle name="F6" xfId="1275"/>
    <cellStyle name="F7" xfId="1276"/>
    <cellStyle name="F8" xfId="1277"/>
    <cellStyle name="Fijo" xfId="1278"/>
    <cellStyle name="Financier" xfId="1279"/>
    <cellStyle name="Financiero" xfId="1280"/>
    <cellStyle name="Fixe" xfId="1281"/>
    <cellStyle name="Fixed" xfId="1282"/>
    <cellStyle name="Fixed 2" xfId="1283"/>
    <cellStyle name="Fixed 3" xfId="1284"/>
    <cellStyle name="Font Britannic16" xfId="1285"/>
    <cellStyle name="Font Britannic18" xfId="1286"/>
    <cellStyle name="Font CenturyCond 18" xfId="1287"/>
    <cellStyle name="Font Cond20" xfId="1288"/>
    <cellStyle name="Font LucidaSans16" xfId="1289"/>
    <cellStyle name="Font NewCenturyCond18" xfId="1290"/>
    <cellStyle name="Font Ottawa14" xfId="1291"/>
    <cellStyle name="Font Ottawa14 2" xfId="1292"/>
    <cellStyle name="Font Ottawa16" xfId="1293"/>
    <cellStyle name="Formulas" xfId="1294"/>
    <cellStyle name="Formulas 2" xfId="1295"/>
    <cellStyle name="Formulas 2 2" xfId="1296"/>
    <cellStyle name="Ghi chú" xfId="1297"/>
    <cellStyle name="Ghi chú 2" xfId="1298"/>
    <cellStyle name="gia" xfId="1299"/>
    <cellStyle name="Good 2" xfId="1300"/>
    <cellStyle name="Good 3" xfId="1301"/>
    <cellStyle name="Grey" xfId="1302"/>
    <cellStyle name="Group" xfId="1303"/>
    <cellStyle name="H" xfId="1304"/>
    <cellStyle name="ha" xfId="1305"/>
    <cellStyle name="hai" xfId="1306"/>
    <cellStyle name="Head 1" xfId="1307"/>
    <cellStyle name="HEADER" xfId="1308"/>
    <cellStyle name="Header1" xfId="1309"/>
    <cellStyle name="Header2" xfId="1310"/>
    <cellStyle name="Header2 2" xfId="1311"/>
    <cellStyle name="Heading 1 2" xfId="1312"/>
    <cellStyle name="Heading 1 3" xfId="1313"/>
    <cellStyle name="Heading 1 4" xfId="1314"/>
    <cellStyle name="Heading 2 2" xfId="1315"/>
    <cellStyle name="Heading 2 3" xfId="1316"/>
    <cellStyle name="Heading 2 4" xfId="1317"/>
    <cellStyle name="Heading 3 2" xfId="1318"/>
    <cellStyle name="Heading 3 3" xfId="1319"/>
    <cellStyle name="Heading 4 2" xfId="1320"/>
    <cellStyle name="Heading 4 3" xfId="1321"/>
    <cellStyle name="Heading1" xfId="1322"/>
    <cellStyle name="Heading2" xfId="1323"/>
    <cellStyle name="HEADINGS" xfId="1324"/>
    <cellStyle name="HEADINGSTOP" xfId="1325"/>
    <cellStyle name="headoption" xfId="1326"/>
    <cellStyle name="headoption 2" xfId="1327"/>
    <cellStyle name="hoa" xfId="1328"/>
    <cellStyle name="Hoa-Scholl" xfId="1329"/>
    <cellStyle name="Hoa-Scholl 2" xfId="1330"/>
    <cellStyle name="HUY" xfId="1331"/>
    <cellStyle name="i phÝ kh¸c_B¶ng 2" xfId="1332"/>
    <cellStyle name="I.3" xfId="1333"/>
    <cellStyle name="i·0" xfId="1334"/>
    <cellStyle name="ï-¾È»ê_BiÓu TB" xfId="1335"/>
    <cellStyle name="Input [yellow]" xfId="1336"/>
    <cellStyle name="Input [yellow] 2" xfId="1337"/>
    <cellStyle name="Input 2" xfId="1338"/>
    <cellStyle name="Input 2 2" xfId="1339"/>
    <cellStyle name="Input 3" xfId="1340"/>
    <cellStyle name="Input 4" xfId="1341"/>
    <cellStyle name="Input 5" xfId="1342"/>
    <cellStyle name="Input 6" xfId="1343"/>
    <cellStyle name="Input 7" xfId="1344"/>
    <cellStyle name="k" xfId="1345"/>
    <cellStyle name="k 2" xfId="1346"/>
    <cellStyle name="k_TONG HOP KINH PHI" xfId="1347"/>
    <cellStyle name="k_ÿÿÿÿÿ" xfId="1348"/>
    <cellStyle name="k_ÿÿÿÿÿ_1" xfId="1349"/>
    <cellStyle name="k_ÿÿÿÿÿ_2" xfId="1350"/>
    <cellStyle name="kh¸c_Bang Chi tieu" xfId="1351"/>
    <cellStyle name="khanh" xfId="1352"/>
    <cellStyle name="khoa2" xfId="1353"/>
    <cellStyle name="khoa2 2" xfId="1354"/>
    <cellStyle name="khung" xfId="1355"/>
    <cellStyle name="khung 2" xfId="1356"/>
    <cellStyle name="Kiểm tra Ô" xfId="1357"/>
    <cellStyle name="KL" xfId="1358"/>
    <cellStyle name="LAS - XD 354" xfId="1359"/>
    <cellStyle name="LAS - XD 354 2" xfId="1360"/>
    <cellStyle name="Ledger 17 x 11 in" xfId="1361"/>
    <cellStyle name="Ledger 17 x 11 in 2" xfId="1362"/>
    <cellStyle name="Ledger 17 x 11 in 3" xfId="1363"/>
    <cellStyle name="Ledger 17 x 11 in_bieu 1" xfId="1364"/>
    <cellStyle name="left" xfId="1365"/>
    <cellStyle name="Line" xfId="1366"/>
    <cellStyle name="Link Currency (0)" xfId="1367"/>
    <cellStyle name="Link Currency (2)" xfId="1368"/>
    <cellStyle name="Link Units (0)" xfId="1369"/>
    <cellStyle name="Link Units (1)" xfId="1370"/>
    <cellStyle name="Link Units (2)" xfId="1371"/>
    <cellStyle name="Linked Cell 2" xfId="1372"/>
    <cellStyle name="Linked Cell 3" xfId="1373"/>
    <cellStyle name="MAU" xfId="1374"/>
    <cellStyle name="Migliaia (0)_CALPREZZ" xfId="1375"/>
    <cellStyle name="Migliaia_ PESO ELETTR." xfId="1376"/>
    <cellStyle name="Millares [0]_10 AVERIAS MASIVAS + ANT" xfId="1377"/>
    <cellStyle name="Millares_Well Timing" xfId="1378"/>
    <cellStyle name="Milliers [0]_      " xfId="1379"/>
    <cellStyle name="Milliers_      " xfId="1380"/>
    <cellStyle name="Model" xfId="1381"/>
    <cellStyle name="moi" xfId="1382"/>
    <cellStyle name="Moneda [0]_Well Timing" xfId="1383"/>
    <cellStyle name="Moneda_Well Timing" xfId="1384"/>
    <cellStyle name="Monetaire" xfId="1385"/>
    <cellStyle name="Monétaire [0]_      " xfId="1386"/>
    <cellStyle name="Monetaire 2" xfId="1387"/>
    <cellStyle name="Monetaire 3" xfId="1388"/>
    <cellStyle name="Monétaire_      " xfId="1389"/>
    <cellStyle name="n" xfId="1390"/>
    <cellStyle name="n_17 bieu (hung cap nhap)" xfId="1391"/>
    <cellStyle name="n_Bao cao doan cong tac cua Bo thang 4-2010" xfId="1392"/>
    <cellStyle name="n_goi 4 - qt" xfId="1393"/>
    <cellStyle name="n_VBPL kiểm toán Đầu tư XDCB 2010" xfId="1394"/>
    <cellStyle name="Neutral 2" xfId="1395"/>
    <cellStyle name="Neutral 3" xfId="1396"/>
    <cellStyle name="New" xfId="1397"/>
    <cellStyle name="New 2" xfId="1398"/>
    <cellStyle name="New Times Roman" xfId="1399"/>
    <cellStyle name="nga" xfId="1400"/>
    <cellStyle name="nga 2" xfId="2371"/>
    <cellStyle name="Nhấn1" xfId="1401"/>
    <cellStyle name="Nhấn2" xfId="1402"/>
    <cellStyle name="Nhấn3" xfId="1403"/>
    <cellStyle name="Nhấn4" xfId="1404"/>
    <cellStyle name="Nhấn5" xfId="1405"/>
    <cellStyle name="Nhấn6" xfId="1406"/>
    <cellStyle name="no dec" xfId="1407"/>
    <cellStyle name="ÑONVÒ" xfId="1408"/>
    <cellStyle name="ÑONVÒ 2" xfId="1409"/>
    <cellStyle name="Normal" xfId="0" builtinId="0"/>
    <cellStyle name="Normal - ??1" xfId="1410"/>
    <cellStyle name="Normal - Style1" xfId="1411"/>
    <cellStyle name="Normal - Style1 2" xfId="1412"/>
    <cellStyle name="Normal - Style1 2 2" xfId="1413"/>
    <cellStyle name="Normal - Style1 2 2 2" xfId="1414"/>
    <cellStyle name="Normal - Style1 2 3" xfId="1415"/>
    <cellStyle name="Normal - Style1 2 4" xfId="1416"/>
    <cellStyle name="Normal - Style1 2_Khoi cong moi 1" xfId="1417"/>
    <cellStyle name="Normal - Style1 3" xfId="1418"/>
    <cellStyle name="Normal - Style1 3 2" xfId="1419"/>
    <cellStyle name="Normal - Style1 4" xfId="1420"/>
    <cellStyle name="Normal - Style1 4 2" xfId="1421"/>
    <cellStyle name="Normal - Style1 5" xfId="1422"/>
    <cellStyle name="Normal - Style1 6" xfId="1423"/>
    <cellStyle name="Normal - Style1_Bao cao kiem toan kh 2010" xfId="1424"/>
    <cellStyle name="Normal - 유형1" xfId="1425"/>
    <cellStyle name="Normal 10" xfId="1426"/>
    <cellStyle name="Normal 10 2" xfId="1427"/>
    <cellStyle name="Normal 10 2 10" xfId="2306"/>
    <cellStyle name="Normal 10 2 4" xfId="1428"/>
    <cellStyle name="Normal 10 3" xfId="2372"/>
    <cellStyle name="Normal 10 5 2" xfId="1429"/>
    <cellStyle name="Normal 11" xfId="1430"/>
    <cellStyle name="Normal 11 2" xfId="2319"/>
    <cellStyle name="Normal 11 2 2" xfId="1431"/>
    <cellStyle name="Normal 11 3" xfId="2317"/>
    <cellStyle name="Normal 12" xfId="1432"/>
    <cellStyle name="Normal 12 2" xfId="1433"/>
    <cellStyle name="Normal 12 2 2" xfId="2351"/>
    <cellStyle name="Normal 12 3" xfId="2350"/>
    <cellStyle name="Normal 13" xfId="1434"/>
    <cellStyle name="Normal 13 2" xfId="6"/>
    <cellStyle name="Normal 14" xfId="1435"/>
    <cellStyle name="Normal 14 2" xfId="1436"/>
    <cellStyle name="Normal 15" xfId="1437"/>
    <cellStyle name="Normal 15 2" xfId="1438"/>
    <cellStyle name="Normal 16" xfId="1439"/>
    <cellStyle name="Normal 16 2" xfId="1440"/>
    <cellStyle name="Normal 17" xfId="1441"/>
    <cellStyle name="Normal 17 2" xfId="1442"/>
    <cellStyle name="Normal 18" xfId="1443"/>
    <cellStyle name="Normal 18 2" xfId="1444"/>
    <cellStyle name="Normal 19" xfId="1445"/>
    <cellStyle name="Normal 19 2" xfId="1446"/>
    <cellStyle name="Normal 2" xfId="1447"/>
    <cellStyle name="Normal 2 12 4" xfId="2305"/>
    <cellStyle name="Normal 2 12 4 2" xfId="2331"/>
    <cellStyle name="Normal 2 12 4 2 2" xfId="2356"/>
    <cellStyle name="Normal 2 12 4 3" xfId="2341"/>
    <cellStyle name="Normal 2 2" xfId="1448"/>
    <cellStyle name="Normal 2 2 2" xfId="2281"/>
    <cellStyle name="Normal 2 2 3" xfId="2300"/>
    <cellStyle name="Normal 2 2 4" xfId="2294"/>
    <cellStyle name="Normal 2 3" xfId="1449"/>
    <cellStyle name="Normal 2 3 2" xfId="1450"/>
    <cellStyle name="Normal 2 3 3" xfId="1451"/>
    <cellStyle name="Normal 2 3_Worksheet in Thong bao phan bo KH 2011 chuyen nguon sang 2012_CT 2" xfId="2285"/>
    <cellStyle name="Normal 2 4" xfId="1452"/>
    <cellStyle name="Normal 2 5" xfId="1453"/>
    <cellStyle name="Normal 2_160507 Bieu mau NSDP ND sua ND73" xfId="1454"/>
    <cellStyle name="Normal 20" xfId="1455"/>
    <cellStyle name="Normal 21" xfId="1456"/>
    <cellStyle name="Normal 22" xfId="1457"/>
    <cellStyle name="Normal 22 2" xfId="1458"/>
    <cellStyle name="Normal 23" xfId="1459"/>
    <cellStyle name="Normal 24" xfId="1460"/>
    <cellStyle name="Normal 24 2" xfId="2373"/>
    <cellStyle name="Normal 25" xfId="1461"/>
    <cellStyle name="Normal 25 2" xfId="2374"/>
    <cellStyle name="Normal 26" xfId="1462"/>
    <cellStyle name="Normal 27" xfId="1463"/>
    <cellStyle name="Normal 28" xfId="1464"/>
    <cellStyle name="Normal 29" xfId="1465"/>
    <cellStyle name="Normal 3" xfId="1466"/>
    <cellStyle name="Normal 3 2" xfId="1467"/>
    <cellStyle name="Normal 3 2 2" xfId="2295"/>
    <cellStyle name="Normal 3 4" xfId="1468"/>
    <cellStyle name="Normal 3_17 bieu (hung cap nhap)" xfId="1469"/>
    <cellStyle name="Normal 30" xfId="1470"/>
    <cellStyle name="Normal 31" xfId="1471"/>
    <cellStyle name="Normal 32" xfId="1472"/>
    <cellStyle name="Normal 33" xfId="1473"/>
    <cellStyle name="Normal 33 2" xfId="1474"/>
    <cellStyle name="Normal 33 4" xfId="1475"/>
    <cellStyle name="Normal 33 4 2" xfId="1476"/>
    <cellStyle name="Normal 34" xfId="1477"/>
    <cellStyle name="Normal 35" xfId="1478"/>
    <cellStyle name="Normal 36" xfId="1479"/>
    <cellStyle name="Normal 37" xfId="1480"/>
    <cellStyle name="Normal 38" xfId="1481"/>
    <cellStyle name="Normal 39" xfId="2272"/>
    <cellStyle name="Normal 4" xfId="1482"/>
    <cellStyle name="Normal 4 18" xfId="2313"/>
    <cellStyle name="Normal 4 2" xfId="1483"/>
    <cellStyle name="Normal 4 2 2" xfId="2308"/>
    <cellStyle name="Normal 4 3" xfId="2342"/>
    <cellStyle name="Normal 4 4" xfId="2309"/>
    <cellStyle name="Normal 4_160513 Bieu mau NSDP ND sua ND73" xfId="1484"/>
    <cellStyle name="Normal 40" xfId="2268"/>
    <cellStyle name="Normal 41 2" xfId="1485"/>
    <cellStyle name="Normal 43" xfId="1486"/>
    <cellStyle name="Normal 5" xfId="1487"/>
    <cellStyle name="Normal 5 2" xfId="1488"/>
    <cellStyle name="Normal 5 2 2" xfId="2296"/>
    <cellStyle name="Normal 5 2 3" xfId="1489"/>
    <cellStyle name="Normal 5 3" xfId="1490"/>
    <cellStyle name="Normal 5_Book1" xfId="1491"/>
    <cellStyle name="Normal 57" xfId="2299"/>
    <cellStyle name="Normal 57 2" xfId="2302"/>
    <cellStyle name="Normal 57 2 2" xfId="2338"/>
    <cellStyle name="Normal 57 3" xfId="2329"/>
    <cellStyle name="Normal 57 3 2" xfId="2354"/>
    <cellStyle name="Normal 57 4" xfId="2335"/>
    <cellStyle name="Normal 6" xfId="1492"/>
    <cellStyle name="Normal 6 2" xfId="1493"/>
    <cellStyle name="Normal 6 2 2" xfId="2316"/>
    <cellStyle name="Normal 6 2 3" xfId="2334"/>
    <cellStyle name="Normal 6 2 4" xfId="2297"/>
    <cellStyle name="Normal 6 3" xfId="1494"/>
    <cellStyle name="Normal 6 3 2" xfId="1495"/>
    <cellStyle name="Normal 6 3 2 2" xfId="8"/>
    <cellStyle name="Normal 6 3 2 4" xfId="2304"/>
    <cellStyle name="Normal 6 3 2 4 2" xfId="2330"/>
    <cellStyle name="Normal 6 3 2 4 2 2" xfId="2355"/>
    <cellStyle name="Normal 6 3 2 4 3" xfId="2340"/>
    <cellStyle name="Normal 6 4" xfId="1496"/>
    <cellStyle name="Normal 6 4 2" xfId="1497"/>
    <cellStyle name="Normal 6 5" xfId="1498"/>
    <cellStyle name="Normal 6 5 2" xfId="1499"/>
    <cellStyle name="Normal 6 6" xfId="1500"/>
    <cellStyle name="Normal 6 6 2" xfId="7"/>
    <cellStyle name="Normal 6 6 2 2" xfId="2301"/>
    <cellStyle name="Normal 6 6 2 2 2" xfId="2303"/>
    <cellStyle name="Normal 6 6 2 2 2 2" xfId="2314"/>
    <cellStyle name="Normal 6 6 2 2 2 2 2" xfId="2344"/>
    <cellStyle name="Normal 6 6 2 2 2 3" xfId="2327"/>
    <cellStyle name="Normal 6 6 2 2 2 3 2" xfId="2353"/>
    <cellStyle name="Normal 6 6 2 2 2 4" xfId="2339"/>
    <cellStyle name="Normal 6 6 2 2 3" xfId="2337"/>
    <cellStyle name="Normal 6 6 2 3" xfId="2336"/>
    <cellStyle name="Normal 6 7" xfId="1501"/>
    <cellStyle name="Normal 6_Bieu mau KH 2011 (gui Vu DP)" xfId="1502"/>
    <cellStyle name="Normal 7" xfId="1503"/>
    <cellStyle name="Normal 7 2" xfId="1504"/>
    <cellStyle name="Normal 7 2 2" xfId="2298"/>
    <cellStyle name="Normal 7 3" xfId="2282"/>
    <cellStyle name="Normal 7 5" xfId="1505"/>
    <cellStyle name="Normal 8" xfId="1506"/>
    <cellStyle name="Normal 8 2" xfId="1507"/>
    <cellStyle name="Normal 8 2 2" xfId="2352"/>
    <cellStyle name="Normal 9" xfId="1508"/>
    <cellStyle name="Normal 9 2" xfId="1509"/>
    <cellStyle name="Normal 9 3" xfId="1510"/>
    <cellStyle name="Normal 9_BieuHD2016-2020Tquang2(OK)" xfId="1511"/>
    <cellStyle name="Normal1" xfId="1512"/>
    <cellStyle name="Normal8" xfId="1513"/>
    <cellStyle name="NORMAL-ADB" xfId="1514"/>
    <cellStyle name="Normale_ PESO ELETTR." xfId="1515"/>
    <cellStyle name="Normalny_Cennik obowiazuje od 06-08-2001 r (1)" xfId="1516"/>
    <cellStyle name="Note 2" xfId="1517"/>
    <cellStyle name="Note 2 2" xfId="1518"/>
    <cellStyle name="Note 3" xfId="1519"/>
    <cellStyle name="NWM" xfId="1520"/>
    <cellStyle name="Ô Được nối kết" xfId="1521"/>
    <cellStyle name="Ò_x000d_Normal_123569" xfId="1522"/>
    <cellStyle name="Œ…‹æØ‚è [0.00]_††††† " xfId="1523"/>
    <cellStyle name="Œ…‹æØ‚è_††††† " xfId="1524"/>
    <cellStyle name="oft Excel]_x000d__x000a_Comment=open=/f ‚ðw’è‚·‚é‚ÆAƒ†[ƒU[’è‹`ŠÖ”‚ðŠÖ”“\‚è•t‚¯‚Ìˆê——‚É“o˜^‚·‚é‚±‚Æ‚ª‚Å‚«‚Ü‚·B_x000d__x000a_Maximized" xfId="1525"/>
    <cellStyle name="oft Excel]_x000d__x000a_Comment=open=/f ‚ðŽw’è‚·‚é‚ÆAƒ†[ƒU[’è‹`ŠÖ”‚ðŠÖ”“\‚è•t‚¯‚Ìˆê——‚É“o˜^‚·‚é‚±‚Æ‚ª‚Å‚«‚Ü‚·B_x000d__x000a_Maximized" xfId="1526"/>
    <cellStyle name="oft Excel]_x000d__x000a_Comment=The open=/f lines load custom functions into the Paste Function list._x000d__x000a_Maximized=2_x000d__x000a_Basics=1_x000d__x000a_A" xfId="1527"/>
    <cellStyle name="oft Excel]_x000d__x000a_Comment=The open=/f lines load custom functions into the Paste Function list._x000d__x000a_Maximized=3_x000d__x000a_Basics=1_x000d__x000a_A" xfId="1528"/>
    <cellStyle name="omma [0]_Mktg Prog" xfId="1529"/>
    <cellStyle name="ormal_Sheet1_1" xfId="1530"/>
    <cellStyle name="Output 2" xfId="1531"/>
    <cellStyle name="Output 2 2" xfId="1532"/>
    <cellStyle name="Output 3" xfId="1533"/>
    <cellStyle name="p" xfId="1534"/>
    <cellStyle name="p 2" xfId="2375"/>
    <cellStyle name="paint" xfId="1535"/>
    <cellStyle name="Pattern" xfId="1536"/>
    <cellStyle name="per.style" xfId="1537"/>
    <cellStyle name="Percent" xfId="2266" builtinId="5"/>
    <cellStyle name="Percent [0]" xfId="1538"/>
    <cellStyle name="Percent [00]" xfId="1539"/>
    <cellStyle name="Percent [2]" xfId="1540"/>
    <cellStyle name="Percent 10" xfId="1541"/>
    <cellStyle name="Percent 2" xfId="1542"/>
    <cellStyle name="Percent 2 2" xfId="1543"/>
    <cellStyle name="Percent 3" xfId="1544"/>
    <cellStyle name="Percent 4" xfId="1545"/>
    <cellStyle name="Percent 4 2" xfId="2376"/>
    <cellStyle name="Percent 5" xfId="1546"/>
    <cellStyle name="Percent 5 2" xfId="2377"/>
    <cellStyle name="Percent 6" xfId="1547"/>
    <cellStyle name="Percent 9 3" xfId="2265"/>
    <cellStyle name="Percent 9 3 2" xfId="2267"/>
    <cellStyle name="Percent 9 3 2 2" xfId="2269"/>
    <cellStyle name="Percent 9 3 2 2 2" xfId="2270"/>
    <cellStyle name="PERCENTAGE" xfId="1548"/>
    <cellStyle name="PHONG" xfId="1549"/>
    <cellStyle name="Pourcentage" xfId="1550"/>
    <cellStyle name="Pourcentage 2" xfId="1551"/>
    <cellStyle name="PrePop Currency (0)" xfId="1552"/>
    <cellStyle name="PrePop Currency (2)" xfId="1553"/>
    <cellStyle name="PrePop Units (0)" xfId="1554"/>
    <cellStyle name="PrePop Units (1)" xfId="1555"/>
    <cellStyle name="PrePop Units (2)" xfId="1556"/>
    <cellStyle name="pricing" xfId="1557"/>
    <cellStyle name="PSChar" xfId="1558"/>
    <cellStyle name="PSHeading" xfId="1559"/>
    <cellStyle name="regstoresfromspecstores" xfId="1560"/>
    <cellStyle name="RevList" xfId="1561"/>
    <cellStyle name="rlink_tiªn l­în_x001b_Hyperlink_TONG HOP KINH PHI" xfId="1562"/>
    <cellStyle name="rmal_ADAdot" xfId="1563"/>
    <cellStyle name="S—_x0008_" xfId="1564"/>
    <cellStyle name="s]_x000d__x000a_spooler=yes_x000d__x000a_load=_x000d__x000a_Beep=yes_x000d__x000a_NullPort=None_x000d__x000a_BorderWidth=3_x000d__x000a_CursorBlinkRate=1200_x000d__x000a_DoubleClickSpeed=452_x000d__x000a_Programs=co" xfId="1565"/>
    <cellStyle name="SAPBEXaggData" xfId="1566"/>
    <cellStyle name="SAPBEXaggData 2" xfId="1567"/>
    <cellStyle name="SAPBEXaggDataEmph" xfId="1568"/>
    <cellStyle name="SAPBEXaggDataEmph 2" xfId="1569"/>
    <cellStyle name="SAPBEXaggItem" xfId="1570"/>
    <cellStyle name="SAPBEXaggItem 2" xfId="1571"/>
    <cellStyle name="SAPBEXchaText" xfId="1572"/>
    <cellStyle name="SAPBEXexcBad7" xfId="1573"/>
    <cellStyle name="SAPBEXexcBad7 2" xfId="1574"/>
    <cellStyle name="SAPBEXexcBad8" xfId="1575"/>
    <cellStyle name="SAPBEXexcBad8 2" xfId="1576"/>
    <cellStyle name="SAPBEXexcBad9" xfId="1577"/>
    <cellStyle name="SAPBEXexcBad9 2" xfId="1578"/>
    <cellStyle name="SAPBEXexcCritical4" xfId="1579"/>
    <cellStyle name="SAPBEXexcCritical4 2" xfId="1580"/>
    <cellStyle name="SAPBEXexcCritical5" xfId="1581"/>
    <cellStyle name="SAPBEXexcCritical5 2" xfId="1582"/>
    <cellStyle name="SAPBEXexcCritical6" xfId="1583"/>
    <cellStyle name="SAPBEXexcCritical6 2" xfId="1584"/>
    <cellStyle name="SAPBEXexcGood1" xfId="1585"/>
    <cellStyle name="SAPBEXexcGood1 2" xfId="1586"/>
    <cellStyle name="SAPBEXexcGood2" xfId="1587"/>
    <cellStyle name="SAPBEXexcGood2 2" xfId="1588"/>
    <cellStyle name="SAPBEXexcGood3" xfId="1589"/>
    <cellStyle name="SAPBEXexcGood3 2" xfId="1590"/>
    <cellStyle name="SAPBEXfilterDrill" xfId="1591"/>
    <cellStyle name="SAPBEXfilterItem" xfId="1592"/>
    <cellStyle name="SAPBEXfilterText" xfId="1593"/>
    <cellStyle name="SAPBEXformats" xfId="1594"/>
    <cellStyle name="SAPBEXformats 2" xfId="1595"/>
    <cellStyle name="SAPBEXheaderItem" xfId="1596"/>
    <cellStyle name="SAPBEXheaderText" xfId="1597"/>
    <cellStyle name="SAPBEXresData" xfId="1598"/>
    <cellStyle name="SAPBEXresData 2" xfId="1599"/>
    <cellStyle name="SAPBEXresDataEmph" xfId="1600"/>
    <cellStyle name="SAPBEXresDataEmph 2" xfId="1601"/>
    <cellStyle name="SAPBEXresItem" xfId="1602"/>
    <cellStyle name="SAPBEXresItem 2" xfId="1603"/>
    <cellStyle name="SAPBEXstdData" xfId="1604"/>
    <cellStyle name="SAPBEXstdData 2" xfId="1605"/>
    <cellStyle name="SAPBEXstdDataEmph" xfId="1606"/>
    <cellStyle name="SAPBEXstdDataEmph 2" xfId="1607"/>
    <cellStyle name="SAPBEXstdItem" xfId="1608"/>
    <cellStyle name="SAPBEXstdItem 2" xfId="1609"/>
    <cellStyle name="SAPBEXtitle" xfId="1610"/>
    <cellStyle name="SAPBEXtitle 2" xfId="1611"/>
    <cellStyle name="SAPBEXundefined" xfId="1612"/>
    <cellStyle name="SAPBEXundefined 2" xfId="1613"/>
    <cellStyle name="serJet 1200 Series PCL 6" xfId="1614"/>
    <cellStyle name="SHADEDSTORES" xfId="1615"/>
    <cellStyle name="SHADEDSTORES 2" xfId="1616"/>
    <cellStyle name="so" xfId="1617"/>
    <cellStyle name="SO%" xfId="1618"/>
    <cellStyle name="so_Book1" xfId="1619"/>
    <cellStyle name="songuyen" xfId="1620"/>
    <cellStyle name="specstores" xfId="1621"/>
    <cellStyle name="Standard" xfId="1622"/>
    <cellStyle name="Standard 2" xfId="1623"/>
    <cellStyle name="Standard_AAbgleich" xfId="1624"/>
    <cellStyle name="STT" xfId="1625"/>
    <cellStyle name="STTDG" xfId="1626"/>
    <cellStyle name="style" xfId="1627"/>
    <cellStyle name="Style 1" xfId="1628"/>
    <cellStyle name="Style 10" xfId="1629"/>
    <cellStyle name="Style 100" xfId="1630"/>
    <cellStyle name="Style 101" xfId="1631"/>
    <cellStyle name="Style 102" xfId="1632"/>
    <cellStyle name="Style 103" xfId="1633"/>
    <cellStyle name="Style 104" xfId="1634"/>
    <cellStyle name="Style 105" xfId="1635"/>
    <cellStyle name="Style 106" xfId="1636"/>
    <cellStyle name="Style 107" xfId="1637"/>
    <cellStyle name="Style 108" xfId="1638"/>
    <cellStyle name="Style 109" xfId="1639"/>
    <cellStyle name="Style 11" xfId="1640"/>
    <cellStyle name="Style 110" xfId="1641"/>
    <cellStyle name="Style 111" xfId="1642"/>
    <cellStyle name="Style 112" xfId="1643"/>
    <cellStyle name="Style 113" xfId="1644"/>
    <cellStyle name="Style 114" xfId="1645"/>
    <cellStyle name="Style 115" xfId="1646"/>
    <cellStyle name="Style 116" xfId="1647"/>
    <cellStyle name="Style 117" xfId="1648"/>
    <cellStyle name="Style 118" xfId="1649"/>
    <cellStyle name="Style 119" xfId="1650"/>
    <cellStyle name="Style 12" xfId="1651"/>
    <cellStyle name="Style 120" xfId="1652"/>
    <cellStyle name="Style 121" xfId="1653"/>
    <cellStyle name="Style 122" xfId="1654"/>
    <cellStyle name="Style 123" xfId="1655"/>
    <cellStyle name="Style 124" xfId="1656"/>
    <cellStyle name="Style 125" xfId="1657"/>
    <cellStyle name="Style 126" xfId="1658"/>
    <cellStyle name="Style 127" xfId="1659"/>
    <cellStyle name="Style 128" xfId="1660"/>
    <cellStyle name="Style 129" xfId="1661"/>
    <cellStyle name="Style 13" xfId="1662"/>
    <cellStyle name="Style 130" xfId="1663"/>
    <cellStyle name="Style 131" xfId="1664"/>
    <cellStyle name="Style 132" xfId="1665"/>
    <cellStyle name="Style 133" xfId="1666"/>
    <cellStyle name="Style 134" xfId="1667"/>
    <cellStyle name="Style 135" xfId="1668"/>
    <cellStyle name="Style 135 2" xfId="1669"/>
    <cellStyle name="Style 136" xfId="1670"/>
    <cellStyle name="Style 137" xfId="1671"/>
    <cellStyle name="Style 138" xfId="1672"/>
    <cellStyle name="Style 139" xfId="1673"/>
    <cellStyle name="Style 14" xfId="1674"/>
    <cellStyle name="Style 140" xfId="1675"/>
    <cellStyle name="Style 140 2" xfId="1676"/>
    <cellStyle name="Style 141" xfId="1677"/>
    <cellStyle name="Style 142" xfId="1678"/>
    <cellStyle name="Style 143" xfId="1679"/>
    <cellStyle name="Style 144" xfId="1680"/>
    <cellStyle name="Style 145" xfId="1681"/>
    <cellStyle name="Style 146" xfId="1682"/>
    <cellStyle name="Style 147" xfId="1683"/>
    <cellStyle name="Style 148" xfId="1684"/>
    <cellStyle name="Style 149" xfId="1685"/>
    <cellStyle name="Style 15" xfId="1686"/>
    <cellStyle name="Style 150" xfId="1687"/>
    <cellStyle name="Style 151" xfId="1688"/>
    <cellStyle name="Style 152" xfId="1689"/>
    <cellStyle name="Style 153" xfId="1690"/>
    <cellStyle name="Style 154" xfId="1691"/>
    <cellStyle name="Style 155" xfId="1692"/>
    <cellStyle name="Style 156" xfId="1693"/>
    <cellStyle name="Style 157" xfId="1694"/>
    <cellStyle name="Style 158" xfId="1695"/>
    <cellStyle name="Style 159" xfId="1696"/>
    <cellStyle name="Style 16" xfId="1697"/>
    <cellStyle name="Style 160" xfId="1698"/>
    <cellStyle name="Style 161" xfId="1699"/>
    <cellStyle name="Style 162" xfId="1700"/>
    <cellStyle name="Style 163" xfId="1701"/>
    <cellStyle name="Style 17" xfId="1702"/>
    <cellStyle name="Style 18" xfId="1703"/>
    <cellStyle name="Style 19" xfId="1704"/>
    <cellStyle name="Style 2" xfId="1705"/>
    <cellStyle name="Style 20" xfId="1706"/>
    <cellStyle name="Style 21" xfId="1707"/>
    <cellStyle name="Style 22" xfId="1708"/>
    <cellStyle name="Style 23" xfId="1709"/>
    <cellStyle name="Style 24" xfId="1710"/>
    <cellStyle name="Style 25" xfId="1711"/>
    <cellStyle name="Style 26" xfId="1712"/>
    <cellStyle name="Style 27" xfId="1713"/>
    <cellStyle name="Style 28" xfId="1714"/>
    <cellStyle name="Style 29" xfId="1715"/>
    <cellStyle name="Style 3" xfId="1716"/>
    <cellStyle name="Style 30" xfId="1717"/>
    <cellStyle name="Style 31" xfId="1718"/>
    <cellStyle name="Style 32" xfId="1719"/>
    <cellStyle name="Style 33" xfId="1720"/>
    <cellStyle name="Style 34" xfId="1721"/>
    <cellStyle name="Style 35" xfId="1722"/>
    <cellStyle name="Style 36" xfId="1723"/>
    <cellStyle name="Style 37" xfId="1724"/>
    <cellStyle name="Style 38" xfId="1725"/>
    <cellStyle name="Style 39" xfId="1726"/>
    <cellStyle name="Style 4" xfId="1727"/>
    <cellStyle name="Style 40" xfId="1728"/>
    <cellStyle name="Style 41" xfId="1729"/>
    <cellStyle name="Style 42" xfId="1730"/>
    <cellStyle name="Style 43" xfId="1731"/>
    <cellStyle name="Style 44" xfId="1732"/>
    <cellStyle name="Style 45" xfId="1733"/>
    <cellStyle name="Style 46" xfId="1734"/>
    <cellStyle name="Style 47" xfId="1735"/>
    <cellStyle name="Style 48" xfId="1736"/>
    <cellStyle name="Style 49" xfId="1737"/>
    <cellStyle name="Style 5" xfId="1738"/>
    <cellStyle name="Style 50" xfId="1739"/>
    <cellStyle name="Style 51" xfId="1740"/>
    <cellStyle name="Style 52" xfId="1741"/>
    <cellStyle name="Style 53" xfId="1742"/>
    <cellStyle name="Style 54" xfId="1743"/>
    <cellStyle name="Style 55" xfId="1744"/>
    <cellStyle name="Style 56" xfId="1745"/>
    <cellStyle name="Style 57" xfId="1746"/>
    <cellStyle name="Style 58" xfId="1747"/>
    <cellStyle name="Style 59" xfId="1748"/>
    <cellStyle name="Style 6" xfId="1749"/>
    <cellStyle name="Style 60" xfId="1750"/>
    <cellStyle name="Style 61" xfId="1751"/>
    <cellStyle name="Style 62" xfId="1752"/>
    <cellStyle name="Style 63" xfId="1753"/>
    <cellStyle name="Style 64" xfId="1754"/>
    <cellStyle name="Style 65" xfId="1755"/>
    <cellStyle name="Style 66" xfId="1756"/>
    <cellStyle name="Style 67" xfId="1757"/>
    <cellStyle name="Style 68" xfId="1758"/>
    <cellStyle name="Style 69" xfId="1759"/>
    <cellStyle name="Style 7" xfId="1760"/>
    <cellStyle name="Style 70" xfId="1761"/>
    <cellStyle name="Style 71" xfId="1762"/>
    <cellStyle name="Style 72" xfId="1763"/>
    <cellStyle name="Style 73" xfId="1764"/>
    <cellStyle name="Style 74" xfId="1765"/>
    <cellStyle name="Style 75" xfId="1766"/>
    <cellStyle name="Style 76" xfId="1767"/>
    <cellStyle name="Style 77" xfId="1768"/>
    <cellStyle name="Style 78" xfId="1769"/>
    <cellStyle name="Style 79" xfId="1770"/>
    <cellStyle name="Style 8" xfId="1771"/>
    <cellStyle name="Style 80" xfId="1772"/>
    <cellStyle name="Style 81" xfId="1773"/>
    <cellStyle name="Style 82" xfId="1774"/>
    <cellStyle name="Style 83" xfId="1775"/>
    <cellStyle name="Style 84" xfId="1776"/>
    <cellStyle name="Style 85" xfId="1777"/>
    <cellStyle name="Style 86" xfId="1778"/>
    <cellStyle name="Style 87" xfId="1779"/>
    <cellStyle name="Style 88" xfId="1780"/>
    <cellStyle name="Style 89" xfId="1781"/>
    <cellStyle name="Style 9" xfId="1782"/>
    <cellStyle name="Style 90" xfId="1783"/>
    <cellStyle name="Style 91" xfId="1784"/>
    <cellStyle name="Style 92" xfId="1785"/>
    <cellStyle name="Style 93" xfId="1786"/>
    <cellStyle name="Style 94" xfId="1787"/>
    <cellStyle name="Style 95" xfId="1788"/>
    <cellStyle name="Style 96" xfId="1789"/>
    <cellStyle name="Style 97" xfId="1790"/>
    <cellStyle name="Style 98" xfId="1791"/>
    <cellStyle name="Style 99" xfId="1792"/>
    <cellStyle name="Style Date" xfId="1793"/>
    <cellStyle name="Style Date 2" xfId="1794"/>
    <cellStyle name="style_1" xfId="1795"/>
    <cellStyle name="subhead" xfId="1796"/>
    <cellStyle name="Subtotal" xfId="1797"/>
    <cellStyle name="symbol" xfId="1798"/>
    <cellStyle name="T" xfId="1799"/>
    <cellStyle name="T 2" xfId="1800"/>
    <cellStyle name="T_50-BB Vung tau 2011" xfId="1801"/>
    <cellStyle name="T_50-BB Vung tau 2011_27-8Tong hop PA uoc 2012-DT 2013 -PA 420.000 ty-490.000 ty chuyen doi" xfId="1802"/>
    <cellStyle name="T_BANG LUONG MOI KSDH va KSDC (co phu cap khu vuc)" xfId="1803"/>
    <cellStyle name="T_BANG LUONG MOI KSDH va KSDC (co phu cap khu vuc) 2" xfId="1804"/>
    <cellStyle name="T_bao cao" xfId="1805"/>
    <cellStyle name="T_bao cao 2" xfId="1806"/>
    <cellStyle name="T_Bao cao so lieu kiem toan nam 2007 sua" xfId="1807"/>
    <cellStyle name="T_Bao cao so lieu kiem toan nam 2007 sua 2" xfId="1808"/>
    <cellStyle name="T_BBTNG-06" xfId="1809"/>
    <cellStyle name="T_BBTNG-06 2" xfId="1810"/>
    <cellStyle name="T_BC CTMT-2008 Ttinh" xfId="1811"/>
    <cellStyle name="T_BC CTMT-2008 Ttinh 2" xfId="1812"/>
    <cellStyle name="T_BC CTMT-2008 Ttinh_bieu tong hop" xfId="1813"/>
    <cellStyle name="T_BC CTMT-2008 Ttinh_bieu tong hop 2" xfId="1814"/>
    <cellStyle name="T_BC CTMT-2008 Ttinh_Tong hop ra soat von ung 2011 -Chau" xfId="1815"/>
    <cellStyle name="T_BC CTMT-2008 Ttinh_Tong hop ra soat von ung 2011 -Chau 2" xfId="1816"/>
    <cellStyle name="T_BC CTMT-2008 Ttinh_Tong hop -Yte-Giao thong-Thuy loi-24-6" xfId="1817"/>
    <cellStyle name="T_BC CTMT-2008 Ttinh_Tong hop -Yte-Giao thong-Thuy loi-24-6 2" xfId="1818"/>
    <cellStyle name="T_Bc_tuan_1_CKy_6_KONTUM" xfId="1819"/>
    <cellStyle name="T_Bc_tuan_1_CKy_6_KONTUM 2" xfId="1820"/>
    <cellStyle name="T_Bc_tuan_1_CKy_6_KONTUM_Book1" xfId="1821"/>
    <cellStyle name="T_Bc_tuan_1_CKy_6_KONTUM_Book1 2" xfId="1822"/>
    <cellStyle name="T_bieu 1" xfId="1823"/>
    <cellStyle name="T_bieu 2" xfId="1824"/>
    <cellStyle name="T_bieu 4" xfId="1825"/>
    <cellStyle name="T_Bieu mau danh muc du an thuoc CTMTQG nam 2008" xfId="1826"/>
    <cellStyle name="T_Bieu mau danh muc du an thuoc CTMTQG nam 2008 2" xfId="1827"/>
    <cellStyle name="T_Bieu mau danh muc du an thuoc CTMTQG nam 2008_bieu tong hop" xfId="1828"/>
    <cellStyle name="T_Bieu mau danh muc du an thuoc CTMTQG nam 2008_bieu tong hop 2" xfId="1829"/>
    <cellStyle name="T_Bieu mau danh muc du an thuoc CTMTQG nam 2008_Tong hop ra soat von ung 2011 -Chau" xfId="1830"/>
    <cellStyle name="T_Bieu mau danh muc du an thuoc CTMTQG nam 2008_Tong hop ra soat von ung 2011 -Chau 2" xfId="1831"/>
    <cellStyle name="T_Bieu mau danh muc du an thuoc CTMTQG nam 2008_Tong hop -Yte-Giao thong-Thuy loi-24-6" xfId="1832"/>
    <cellStyle name="T_Bieu mau danh muc du an thuoc CTMTQG nam 2008_Tong hop -Yte-Giao thong-Thuy loi-24-6 2" xfId="1833"/>
    <cellStyle name="T_Bieu tong hop nhu cau ung 2011 da chon loc -Mien nui" xfId="1834"/>
    <cellStyle name="T_Bieu tong hop nhu cau ung 2011 da chon loc -Mien nui 2" xfId="1835"/>
    <cellStyle name="T_Book1" xfId="1836"/>
    <cellStyle name="T_Book1 2" xfId="1837"/>
    <cellStyle name="T_Book1_1" xfId="1838"/>
    <cellStyle name="T_Book1_1 2" xfId="1839"/>
    <cellStyle name="T_Book1_1_Bieu mau ung 2011-Mien Trung-TPCP-11-6" xfId="1840"/>
    <cellStyle name="T_Book1_1_Bieu mau ung 2011-Mien Trung-TPCP-11-6 2" xfId="1841"/>
    <cellStyle name="T_Book1_1_bieu tong hop" xfId="1842"/>
    <cellStyle name="T_Book1_1_bieu tong hop 2" xfId="1843"/>
    <cellStyle name="T_Book1_1_Bieu tong hop nhu cau ung 2011 da chon loc -Mien nui" xfId="1844"/>
    <cellStyle name="T_Book1_1_Bieu tong hop nhu cau ung 2011 da chon loc -Mien nui 2" xfId="1845"/>
    <cellStyle name="T_Book1_1_Book1" xfId="1846"/>
    <cellStyle name="T_Book1_1_Book1 2" xfId="1847"/>
    <cellStyle name="T_Book1_1_CPK" xfId="1848"/>
    <cellStyle name="T_Book1_1_CPK 2" xfId="1849"/>
    <cellStyle name="T_Book1_1_Khoi luong cac hang muc chi tiet-702" xfId="1850"/>
    <cellStyle name="T_Book1_1_Khoi luong cac hang muc chi tiet-702 2" xfId="1851"/>
    <cellStyle name="T_Book1_1_khoiluongbdacdoa" xfId="1852"/>
    <cellStyle name="T_Book1_1_khoiluongbdacdoa 2" xfId="1853"/>
    <cellStyle name="T_Book1_1_KL NT dap nen Dot 3" xfId="1854"/>
    <cellStyle name="T_Book1_1_KL NT dap nen Dot 3 2" xfId="1855"/>
    <cellStyle name="T_Book1_1_KL NT Dot 3" xfId="1856"/>
    <cellStyle name="T_Book1_1_KL NT Dot 3 2" xfId="1857"/>
    <cellStyle name="T_Book1_1_mau KL vach son" xfId="1858"/>
    <cellStyle name="T_Book1_1_mau KL vach son 2" xfId="1859"/>
    <cellStyle name="T_Book1_1_Nhu cau tam ung NSNN&amp;TPCP&amp;ODA theo tieu chi cua Bo (CV410_BKH-TH)_vung Tay Nguyen (11.6.2010)" xfId="1860"/>
    <cellStyle name="T_Book1_1_Nhu cau tam ung NSNN&amp;TPCP&amp;ODA theo tieu chi cua Bo (CV410_BKH-TH)_vung Tay Nguyen (11.6.2010) 2" xfId="1861"/>
    <cellStyle name="T_Book1_1_Thiet bi" xfId="1862"/>
    <cellStyle name="T_Book1_1_Thiet bi 2" xfId="1863"/>
    <cellStyle name="T_Book1_1_Thong ke cong" xfId="1864"/>
    <cellStyle name="T_Book1_1_Thong ke cong 2" xfId="1865"/>
    <cellStyle name="T_Book1_1_Tong hop ra soat von ung 2011 -Chau" xfId="1866"/>
    <cellStyle name="T_Book1_1_Tong hop ra soat von ung 2011 -Chau 2" xfId="1867"/>
    <cellStyle name="T_Book1_1_Tong hop -Yte-Giao thong-Thuy loi-24-6" xfId="1868"/>
    <cellStyle name="T_Book1_1_Tong hop -Yte-Giao thong-Thuy loi-24-6 2" xfId="1869"/>
    <cellStyle name="T_Book1_2" xfId="1870"/>
    <cellStyle name="T_Book1_2 2" xfId="1871"/>
    <cellStyle name="T_Book1_2_DTDuong dong tien -sua tham tra 2009 - luong 650" xfId="1872"/>
    <cellStyle name="T_Book1_2_DTDuong dong tien -sua tham tra 2009 - luong 650 2" xfId="1873"/>
    <cellStyle name="T_Book1_Bao cao kiem toan kh 2010" xfId="1874"/>
    <cellStyle name="T_Book1_Bao cao kiem toan kh 2010 2" xfId="1875"/>
    <cellStyle name="T_Book1_Bieu mau danh muc du an thuoc CTMTQG nam 2008" xfId="1876"/>
    <cellStyle name="T_Book1_Bieu mau danh muc du an thuoc CTMTQG nam 2008 2" xfId="1877"/>
    <cellStyle name="T_Book1_Bieu mau danh muc du an thuoc CTMTQG nam 2008_bieu tong hop" xfId="1878"/>
    <cellStyle name="T_Book1_Bieu mau danh muc du an thuoc CTMTQG nam 2008_bieu tong hop 2" xfId="1879"/>
    <cellStyle name="T_Book1_Bieu mau danh muc du an thuoc CTMTQG nam 2008_Tong hop ra soat von ung 2011 -Chau" xfId="1880"/>
    <cellStyle name="T_Book1_Bieu mau danh muc du an thuoc CTMTQG nam 2008_Tong hop ra soat von ung 2011 -Chau 2" xfId="1881"/>
    <cellStyle name="T_Book1_Bieu mau danh muc du an thuoc CTMTQG nam 2008_Tong hop -Yte-Giao thong-Thuy loi-24-6" xfId="1882"/>
    <cellStyle name="T_Book1_Bieu mau danh muc du an thuoc CTMTQG nam 2008_Tong hop -Yte-Giao thong-Thuy loi-24-6 2" xfId="1883"/>
    <cellStyle name="T_Book1_Bieu tong hop nhu cau ung 2011 da chon loc -Mien nui" xfId="1884"/>
    <cellStyle name="T_Book1_Bieu tong hop nhu cau ung 2011 da chon loc -Mien nui 2" xfId="1885"/>
    <cellStyle name="T_Book1_Book1" xfId="1886"/>
    <cellStyle name="T_Book1_Book1 2" xfId="1887"/>
    <cellStyle name="T_Book1_Book1_1" xfId="1888"/>
    <cellStyle name="T_Book1_Book1_1 2" xfId="1889"/>
    <cellStyle name="T_Book1_CPK" xfId="1890"/>
    <cellStyle name="T_Book1_CPK 2" xfId="1891"/>
    <cellStyle name="T_Book1_DT492" xfId="1892"/>
    <cellStyle name="T_Book1_DT492 2" xfId="1893"/>
    <cellStyle name="T_Book1_DT972000" xfId="1894"/>
    <cellStyle name="T_Book1_DT972000 2" xfId="1895"/>
    <cellStyle name="T_Book1_DTDuong dong tien -sua tham tra 2009 - luong 650" xfId="1896"/>
    <cellStyle name="T_Book1_DTDuong dong tien -sua tham tra 2009 - luong 650 2" xfId="1897"/>
    <cellStyle name="T_Book1_Du an khoi cong moi nam 2010" xfId="1898"/>
    <cellStyle name="T_Book1_Du an khoi cong moi nam 2010 2" xfId="1899"/>
    <cellStyle name="T_Book1_Du an khoi cong moi nam 2010_bieu tong hop" xfId="1900"/>
    <cellStyle name="T_Book1_Du an khoi cong moi nam 2010_bieu tong hop 2" xfId="1901"/>
    <cellStyle name="T_Book1_Du an khoi cong moi nam 2010_Tong hop ra soat von ung 2011 -Chau" xfId="1902"/>
    <cellStyle name="T_Book1_Du an khoi cong moi nam 2010_Tong hop ra soat von ung 2011 -Chau 2" xfId="1903"/>
    <cellStyle name="T_Book1_Du an khoi cong moi nam 2010_Tong hop -Yte-Giao thong-Thuy loi-24-6" xfId="1904"/>
    <cellStyle name="T_Book1_Du an khoi cong moi nam 2010_Tong hop -Yte-Giao thong-Thuy loi-24-6 2" xfId="1905"/>
    <cellStyle name="T_Book1_Du toan khao sat (bo sung 2009)" xfId="1906"/>
    <cellStyle name="T_Book1_Du toan khao sat (bo sung 2009) 2" xfId="1907"/>
    <cellStyle name="T_Book1_Hang Tom goi9 9-07(Cau 12 sua)" xfId="1908"/>
    <cellStyle name="T_Book1_HECO-NR78-Gui a-Vinh(15-5-07)" xfId="1909"/>
    <cellStyle name="T_Book1_HECO-NR78-Gui a-Vinh(15-5-07) 2" xfId="1910"/>
    <cellStyle name="T_Book1_Ke hoach 2010 (theo doi)2" xfId="1911"/>
    <cellStyle name="T_Book1_Ke hoach 2010 (theo doi)2 2" xfId="1912"/>
    <cellStyle name="T_Book1_Ket qua phan bo von nam 2008" xfId="1913"/>
    <cellStyle name="T_Book1_Ket qua phan bo von nam 2008 2" xfId="1914"/>
    <cellStyle name="T_Book1_KH XDCB_2008 lan 2 sua ngay 10-11" xfId="1915"/>
    <cellStyle name="T_Book1_KH XDCB_2008 lan 2 sua ngay 10-11 2" xfId="1916"/>
    <cellStyle name="T_Book1_Khoi luong cac hang muc chi tiet-702" xfId="1917"/>
    <cellStyle name="T_Book1_Khoi luong cac hang muc chi tiet-702 2" xfId="1918"/>
    <cellStyle name="T_Book1_Khoi luong chinh Hang Tom" xfId="1919"/>
    <cellStyle name="T_Book1_khoiluongbdacdoa" xfId="1920"/>
    <cellStyle name="T_Book1_khoiluongbdacdoa 2" xfId="1921"/>
    <cellStyle name="T_Book1_KL NT dap nen Dot 3" xfId="1922"/>
    <cellStyle name="T_Book1_KL NT dap nen Dot 3 2" xfId="1923"/>
    <cellStyle name="T_Book1_KL NT Dot 3" xfId="1924"/>
    <cellStyle name="T_Book1_KL NT Dot 3 2" xfId="1925"/>
    <cellStyle name="T_Book1_mau bieu doan giam sat 2010 (version 2)" xfId="1926"/>
    <cellStyle name="T_Book1_mau bieu doan giam sat 2010 (version 2) 2" xfId="1927"/>
    <cellStyle name="T_Book1_mau KL vach son" xfId="1928"/>
    <cellStyle name="T_Book1_mau KL vach son 2" xfId="1929"/>
    <cellStyle name="T_Book1_Nhu cau von ung truoc 2011 Tha h Hoa + Nge An gui TW" xfId="1930"/>
    <cellStyle name="T_Book1_Nhu cau von ung truoc 2011 Tha h Hoa + Nge An gui TW 2" xfId="1931"/>
    <cellStyle name="T_Book1_QD UBND tinh" xfId="1932"/>
    <cellStyle name="T_Book1_QD UBND tinh 2" xfId="1933"/>
    <cellStyle name="T_Book1_San sat hach moi" xfId="1934"/>
    <cellStyle name="T_Book1_San sat hach moi 2" xfId="1935"/>
    <cellStyle name="T_Book1_Thiet bi" xfId="1936"/>
    <cellStyle name="T_Book1_Thiet bi 2" xfId="1937"/>
    <cellStyle name="T_Book1_Thong ke cong" xfId="1938"/>
    <cellStyle name="T_Book1_Thong ke cong 2" xfId="1939"/>
    <cellStyle name="T_Book1_Tong hop 3 tinh (11_5)-TTH-QN-QT" xfId="1940"/>
    <cellStyle name="T_Book1_Tong hop 3 tinh (11_5)-TTH-QN-QT 2" xfId="1941"/>
    <cellStyle name="T_Book1_ung 2011 - 11-6-Thanh hoa-Nghe an" xfId="1942"/>
    <cellStyle name="T_Book1_ung 2011 - 11-6-Thanh hoa-Nghe an 2" xfId="1943"/>
    <cellStyle name="T_Book1_ung truoc 2011 NSTW Thanh Hoa + Nge An gui Thu 12-5" xfId="1944"/>
    <cellStyle name="T_Book1_ung truoc 2011 NSTW Thanh Hoa + Nge An gui Thu 12-5 2" xfId="1945"/>
    <cellStyle name="T_Book1_VBPL kiểm toán Đầu tư XDCB 2010" xfId="1946"/>
    <cellStyle name="T_Book1_VBPL kiểm toán Đầu tư XDCB 2010 2" xfId="1947"/>
    <cellStyle name="T_Book1_Worksheet in D: My Documents Luc Van ban xu ly Nam 2011 Bao cao ra soat tam ung TPCP" xfId="1948"/>
    <cellStyle name="T_Book1_Worksheet in D: My Documents Luc Van ban xu ly Nam 2011 Bao cao ra soat tam ung TPCP 2" xfId="1949"/>
    <cellStyle name="T_CDKT" xfId="1950"/>
    <cellStyle name="T_CDKT 2" xfId="1951"/>
    <cellStyle name="T_Chuan bi dau tu nam 2008" xfId="1952"/>
    <cellStyle name="T_Chuan bi dau tu nam 2008 2" xfId="1953"/>
    <cellStyle name="T_Chuan bi dau tu nam 2008_bieu tong hop" xfId="1954"/>
    <cellStyle name="T_Chuan bi dau tu nam 2008_bieu tong hop 2" xfId="1955"/>
    <cellStyle name="T_Chuan bi dau tu nam 2008_Tong hop ra soat von ung 2011 -Chau" xfId="1956"/>
    <cellStyle name="T_Chuan bi dau tu nam 2008_Tong hop ra soat von ung 2011 -Chau 2" xfId="1957"/>
    <cellStyle name="T_Chuan bi dau tu nam 2008_Tong hop -Yte-Giao thong-Thuy loi-24-6" xfId="1958"/>
    <cellStyle name="T_Chuan bi dau tu nam 2008_Tong hop -Yte-Giao thong-Thuy loi-24-6 2" xfId="1959"/>
    <cellStyle name="T_Copy of Bao cao  XDCB 7 thang nam 2008_So KH&amp;DT SUA" xfId="1960"/>
    <cellStyle name="T_Copy of Bao cao  XDCB 7 thang nam 2008_So KH&amp;DT SUA 2" xfId="1961"/>
    <cellStyle name="T_Copy of Bao cao  XDCB 7 thang nam 2008_So KH&amp;DT SUA_bieu tong hop" xfId="1962"/>
    <cellStyle name="T_Copy of Bao cao  XDCB 7 thang nam 2008_So KH&amp;DT SUA_bieu tong hop 2" xfId="1963"/>
    <cellStyle name="T_Copy of Bao cao  XDCB 7 thang nam 2008_So KH&amp;DT SUA_Tong hop ra soat von ung 2011 -Chau" xfId="1964"/>
    <cellStyle name="T_Copy of Bao cao  XDCB 7 thang nam 2008_So KH&amp;DT SUA_Tong hop ra soat von ung 2011 -Chau 2" xfId="1965"/>
    <cellStyle name="T_Copy of Bao cao  XDCB 7 thang nam 2008_So KH&amp;DT SUA_Tong hop -Yte-Giao thong-Thuy loi-24-6" xfId="1966"/>
    <cellStyle name="T_Copy of Bao cao  XDCB 7 thang nam 2008_So KH&amp;DT SUA_Tong hop -Yte-Giao thong-Thuy loi-24-6 2" xfId="1967"/>
    <cellStyle name="T_Copy of KS Du an dau tu" xfId="1968"/>
    <cellStyle name="T_Copy of KS Du an dau tu 2" xfId="1969"/>
    <cellStyle name="T_Cost for DD (summary)" xfId="1970"/>
    <cellStyle name="T_Cost for DD (summary) 2" xfId="1971"/>
    <cellStyle name="T_CPK" xfId="1972"/>
    <cellStyle name="T_CPK 2" xfId="1973"/>
    <cellStyle name="T_CTMTQG 2008" xfId="1974"/>
    <cellStyle name="T_CTMTQG 2008 2" xfId="1975"/>
    <cellStyle name="T_CTMTQG 2008_Bieu mau danh muc du an thuoc CTMTQG nam 2008" xfId="1976"/>
    <cellStyle name="T_CTMTQG 2008_Bieu mau danh muc du an thuoc CTMTQG nam 2008 2" xfId="1977"/>
    <cellStyle name="T_CTMTQG 2008_Hi-Tong hop KQ phan bo KH nam 08- LD fong giao 15-11-08" xfId="1978"/>
    <cellStyle name="T_CTMTQG 2008_Hi-Tong hop KQ phan bo KH nam 08- LD fong giao 15-11-08 2" xfId="1979"/>
    <cellStyle name="T_CTMTQG 2008_Ket qua thuc hien nam 2008" xfId="1980"/>
    <cellStyle name="T_CTMTQG 2008_Ket qua thuc hien nam 2008 2" xfId="1981"/>
    <cellStyle name="T_CTMTQG 2008_KH XDCB_2008 lan 1" xfId="1982"/>
    <cellStyle name="T_CTMTQG 2008_KH XDCB_2008 lan 1 2" xfId="1983"/>
    <cellStyle name="T_CTMTQG 2008_KH XDCB_2008 lan 1 sua ngay 27-10" xfId="1984"/>
    <cellStyle name="T_CTMTQG 2008_KH XDCB_2008 lan 1 sua ngay 27-10 2" xfId="1985"/>
    <cellStyle name="T_CTMTQG 2008_KH XDCB_2008 lan 2 sua ngay 10-11" xfId="1986"/>
    <cellStyle name="T_CTMTQG 2008_KH XDCB_2008 lan 2 sua ngay 10-11 2" xfId="1987"/>
    <cellStyle name="T_DT972000" xfId="1988"/>
    <cellStyle name="T_DTDuong dong tien -sua tham tra 2009 - luong 650" xfId="1989"/>
    <cellStyle name="T_DTDuong dong tien -sua tham tra 2009 - luong 650 2" xfId="1990"/>
    <cellStyle name="T_dtTL598G1." xfId="1991"/>
    <cellStyle name="T_dtTL598G1. 2" xfId="1992"/>
    <cellStyle name="T_Du an khoi cong moi nam 2010" xfId="1993"/>
    <cellStyle name="T_Du an khoi cong moi nam 2010 2" xfId="1994"/>
    <cellStyle name="T_Du an khoi cong moi nam 2010_bieu tong hop" xfId="1995"/>
    <cellStyle name="T_Du an khoi cong moi nam 2010_bieu tong hop 2" xfId="1996"/>
    <cellStyle name="T_Du an khoi cong moi nam 2010_Tong hop ra soat von ung 2011 -Chau" xfId="1997"/>
    <cellStyle name="T_Du an khoi cong moi nam 2010_Tong hop ra soat von ung 2011 -Chau 2" xfId="1998"/>
    <cellStyle name="T_Du an khoi cong moi nam 2010_Tong hop -Yte-Giao thong-Thuy loi-24-6" xfId="1999"/>
    <cellStyle name="T_Du an khoi cong moi nam 2010_Tong hop -Yte-Giao thong-Thuy loi-24-6 2" xfId="2000"/>
    <cellStyle name="T_DU AN TKQH VA CHUAN BI DAU TU NAM 2007 sua ngay 9-11" xfId="2001"/>
    <cellStyle name="T_DU AN TKQH VA CHUAN BI DAU TU NAM 2007 sua ngay 9-11 2" xfId="2002"/>
    <cellStyle name="T_DU AN TKQH VA CHUAN BI DAU TU NAM 2007 sua ngay 9-11_Bieu mau danh muc du an thuoc CTMTQG nam 2008" xfId="2003"/>
    <cellStyle name="T_DU AN TKQH VA CHUAN BI DAU TU NAM 2007 sua ngay 9-11_Bieu mau danh muc du an thuoc CTMTQG nam 2008 2" xfId="2004"/>
    <cellStyle name="T_DU AN TKQH VA CHUAN BI DAU TU NAM 2007 sua ngay 9-11_Bieu mau danh muc du an thuoc CTMTQG nam 2008_bieu tong hop" xfId="2005"/>
    <cellStyle name="T_DU AN TKQH VA CHUAN BI DAU TU NAM 2007 sua ngay 9-11_Bieu mau danh muc du an thuoc CTMTQG nam 2008_bieu tong hop 2" xfId="2006"/>
    <cellStyle name="T_DU AN TKQH VA CHUAN BI DAU TU NAM 2007 sua ngay 9-11_Bieu mau danh muc du an thuoc CTMTQG nam 2008_Tong hop ra soat von ung 2011 -Chau" xfId="2007"/>
    <cellStyle name="T_DU AN TKQH VA CHUAN BI DAU TU NAM 2007 sua ngay 9-11_Bieu mau danh muc du an thuoc CTMTQG nam 2008_Tong hop ra soat von ung 2011 -Chau 2" xfId="2008"/>
    <cellStyle name="T_DU AN TKQH VA CHUAN BI DAU TU NAM 2007 sua ngay 9-11_Bieu mau danh muc du an thuoc CTMTQG nam 2008_Tong hop -Yte-Giao thong-Thuy loi-24-6" xfId="2009"/>
    <cellStyle name="T_DU AN TKQH VA CHUAN BI DAU TU NAM 2007 sua ngay 9-11_Bieu mau danh muc du an thuoc CTMTQG nam 2008_Tong hop -Yte-Giao thong-Thuy loi-24-6 2" xfId="2010"/>
    <cellStyle name="T_DU AN TKQH VA CHUAN BI DAU TU NAM 2007 sua ngay 9-11_Du an khoi cong moi nam 2010" xfId="2011"/>
    <cellStyle name="T_DU AN TKQH VA CHUAN BI DAU TU NAM 2007 sua ngay 9-11_Du an khoi cong moi nam 2010 2" xfId="2012"/>
    <cellStyle name="T_DU AN TKQH VA CHUAN BI DAU TU NAM 2007 sua ngay 9-11_Du an khoi cong moi nam 2010_bieu tong hop" xfId="2013"/>
    <cellStyle name="T_DU AN TKQH VA CHUAN BI DAU TU NAM 2007 sua ngay 9-11_Du an khoi cong moi nam 2010_bieu tong hop 2" xfId="2014"/>
    <cellStyle name="T_DU AN TKQH VA CHUAN BI DAU TU NAM 2007 sua ngay 9-11_Du an khoi cong moi nam 2010_Tong hop ra soat von ung 2011 -Chau" xfId="2015"/>
    <cellStyle name="T_DU AN TKQH VA CHUAN BI DAU TU NAM 2007 sua ngay 9-11_Du an khoi cong moi nam 2010_Tong hop ra soat von ung 2011 -Chau 2" xfId="2016"/>
    <cellStyle name="T_DU AN TKQH VA CHUAN BI DAU TU NAM 2007 sua ngay 9-11_Du an khoi cong moi nam 2010_Tong hop -Yte-Giao thong-Thuy loi-24-6" xfId="2017"/>
    <cellStyle name="T_DU AN TKQH VA CHUAN BI DAU TU NAM 2007 sua ngay 9-11_Du an khoi cong moi nam 2010_Tong hop -Yte-Giao thong-Thuy loi-24-6 2" xfId="2018"/>
    <cellStyle name="T_DU AN TKQH VA CHUAN BI DAU TU NAM 2007 sua ngay 9-11_Ket qua phan bo von nam 2008" xfId="2019"/>
    <cellStyle name="T_DU AN TKQH VA CHUAN BI DAU TU NAM 2007 sua ngay 9-11_Ket qua phan bo von nam 2008 2" xfId="2020"/>
    <cellStyle name="T_DU AN TKQH VA CHUAN BI DAU TU NAM 2007 sua ngay 9-11_KH XDCB_2008 lan 2 sua ngay 10-11" xfId="2021"/>
    <cellStyle name="T_DU AN TKQH VA CHUAN BI DAU TU NAM 2007 sua ngay 9-11_KH XDCB_2008 lan 2 sua ngay 10-11 2" xfId="2022"/>
    <cellStyle name="T_du toan dieu chinh  20-8-2006" xfId="2023"/>
    <cellStyle name="T_du toan dieu chinh  20-8-2006 2" xfId="2024"/>
    <cellStyle name="T_Du toan khao sat (bo sung 2009)" xfId="2025"/>
    <cellStyle name="T_Du toan khao sat (bo sung 2009) 2" xfId="2026"/>
    <cellStyle name="T_du toan lan 3" xfId="2027"/>
    <cellStyle name="T_du toan lan 3 2" xfId="2028"/>
    <cellStyle name="T_Ke hoach KTXH  nam 2009_PKT thang 11 nam 2008" xfId="2029"/>
    <cellStyle name="T_Ke hoach KTXH  nam 2009_PKT thang 11 nam 2008 2" xfId="2030"/>
    <cellStyle name="T_Ke hoach KTXH  nam 2009_PKT thang 11 nam 2008_bieu tong hop" xfId="2031"/>
    <cellStyle name="T_Ke hoach KTXH  nam 2009_PKT thang 11 nam 2008_bieu tong hop 2" xfId="2032"/>
    <cellStyle name="T_Ke hoach KTXH  nam 2009_PKT thang 11 nam 2008_Tong hop ra soat von ung 2011 -Chau" xfId="2033"/>
    <cellStyle name="T_Ke hoach KTXH  nam 2009_PKT thang 11 nam 2008_Tong hop ra soat von ung 2011 -Chau 2" xfId="2034"/>
    <cellStyle name="T_Ke hoach KTXH  nam 2009_PKT thang 11 nam 2008_Tong hop -Yte-Giao thong-Thuy loi-24-6" xfId="2035"/>
    <cellStyle name="T_Ke hoach KTXH  nam 2009_PKT thang 11 nam 2008_Tong hop -Yte-Giao thong-Thuy loi-24-6 2" xfId="2036"/>
    <cellStyle name="T_Ket qua dau thau" xfId="2037"/>
    <cellStyle name="T_Ket qua dau thau 2" xfId="2038"/>
    <cellStyle name="T_Ket qua dau thau_bieu tong hop" xfId="2039"/>
    <cellStyle name="T_Ket qua dau thau_bieu tong hop 2" xfId="2040"/>
    <cellStyle name="T_Ket qua dau thau_Tong hop ra soat von ung 2011 -Chau" xfId="2041"/>
    <cellStyle name="T_Ket qua dau thau_Tong hop ra soat von ung 2011 -Chau 2" xfId="2042"/>
    <cellStyle name="T_Ket qua dau thau_Tong hop -Yte-Giao thong-Thuy loi-24-6" xfId="2043"/>
    <cellStyle name="T_Ket qua dau thau_Tong hop -Yte-Giao thong-Thuy loi-24-6 2" xfId="2044"/>
    <cellStyle name="T_Ket qua phan bo von nam 2008" xfId="2045"/>
    <cellStyle name="T_Ket qua phan bo von nam 2008 2" xfId="2046"/>
    <cellStyle name="T_KH XDCB_2008 lan 2 sua ngay 10-11" xfId="2047"/>
    <cellStyle name="T_KH XDCB_2008 lan 2 sua ngay 10-11 2" xfId="2048"/>
    <cellStyle name="T_Khao satD1" xfId="2049"/>
    <cellStyle name="T_Khao satD1 2" xfId="2050"/>
    <cellStyle name="T_Khoi luong cac hang muc chi tiet-702" xfId="2051"/>
    <cellStyle name="T_Khoi luong cac hang muc chi tiet-702 2" xfId="2052"/>
    <cellStyle name="T_KL NT dap nen Dot 3" xfId="2053"/>
    <cellStyle name="T_KL NT Dot 3" xfId="2054"/>
    <cellStyle name="T_Kl VL ranh" xfId="2055"/>
    <cellStyle name="T_Kl VL ranh 2" xfId="2056"/>
    <cellStyle name="T_KLNMD1" xfId="2057"/>
    <cellStyle name="T_KLNMD1 2" xfId="2058"/>
    <cellStyle name="T_mau bieu doan giam sat 2010 (version 2)" xfId="2059"/>
    <cellStyle name="T_mau bieu doan giam sat 2010 (version 2) 2" xfId="2060"/>
    <cellStyle name="T_mau KL vach son" xfId="2061"/>
    <cellStyle name="T_mau KL vach son 2" xfId="2062"/>
    <cellStyle name="T_Me_Tri_6_07" xfId="2063"/>
    <cellStyle name="T_Me_Tri_6_07 2" xfId="2064"/>
    <cellStyle name="T_N2 thay dat (N1-1)" xfId="2065"/>
    <cellStyle name="T_N2 thay dat (N1-1) 2" xfId="2066"/>
    <cellStyle name="T_Phuong an can doi nam 2008" xfId="2067"/>
    <cellStyle name="T_Phuong an can doi nam 2008 2" xfId="2068"/>
    <cellStyle name="T_Phuong an can doi nam 2008_bieu tong hop" xfId="2069"/>
    <cellStyle name="T_Phuong an can doi nam 2008_bieu tong hop 2" xfId="2070"/>
    <cellStyle name="T_Phuong an can doi nam 2008_Tong hop ra soat von ung 2011 -Chau" xfId="2071"/>
    <cellStyle name="T_Phuong an can doi nam 2008_Tong hop ra soat von ung 2011 -Chau 2" xfId="2072"/>
    <cellStyle name="T_Phuong an can doi nam 2008_Tong hop -Yte-Giao thong-Thuy loi-24-6" xfId="2073"/>
    <cellStyle name="T_Phuong an can doi nam 2008_Tong hop -Yte-Giao thong-Thuy loi-24-6 2" xfId="2074"/>
    <cellStyle name="T_San sat hach moi" xfId="2075"/>
    <cellStyle name="T_San sat hach moi 2" xfId="2076"/>
    <cellStyle name="T_Seagame(BTL)" xfId="2077"/>
    <cellStyle name="T_So GTVT" xfId="2078"/>
    <cellStyle name="T_So GTVT 2" xfId="2079"/>
    <cellStyle name="T_So GTVT_bieu tong hop" xfId="2080"/>
    <cellStyle name="T_So GTVT_bieu tong hop 2" xfId="2081"/>
    <cellStyle name="T_So GTVT_Tong hop ra soat von ung 2011 -Chau" xfId="2082"/>
    <cellStyle name="T_So GTVT_Tong hop ra soat von ung 2011 -Chau 2" xfId="2083"/>
    <cellStyle name="T_So GTVT_Tong hop -Yte-Giao thong-Thuy loi-24-6" xfId="2084"/>
    <cellStyle name="T_So GTVT_Tong hop -Yte-Giao thong-Thuy loi-24-6 2" xfId="2085"/>
    <cellStyle name="T_SS BVTC cau va cong tuyen Le Chan" xfId="2086"/>
    <cellStyle name="T_SS BVTC cau va cong tuyen Le Chan 2" xfId="2087"/>
    <cellStyle name="T_Tay Bac 1" xfId="2088"/>
    <cellStyle name="T_Tay Bac 1 2" xfId="2089"/>
    <cellStyle name="T_Tay Bac 1_Bao cao kiem toan kh 2010" xfId="2090"/>
    <cellStyle name="T_Tay Bac 1_Bao cao kiem toan kh 2010 2" xfId="2091"/>
    <cellStyle name="T_Tay Bac 1_Book1" xfId="2092"/>
    <cellStyle name="T_Tay Bac 1_Book1 2" xfId="2093"/>
    <cellStyle name="T_Tay Bac 1_Ke hoach 2010 (theo doi)2" xfId="2094"/>
    <cellStyle name="T_Tay Bac 1_Ke hoach 2010 (theo doi)2 2" xfId="2095"/>
    <cellStyle name="T_Tay Bac 1_QD UBND tinh" xfId="2096"/>
    <cellStyle name="T_Tay Bac 1_QD UBND tinh 2" xfId="2097"/>
    <cellStyle name="T_Tay Bac 1_Worksheet in D: My Documents Luc Van ban xu ly Nam 2011 Bao cao ra soat tam ung TPCP" xfId="2098"/>
    <cellStyle name="T_Tay Bac 1_Worksheet in D: My Documents Luc Van ban xu ly Nam 2011 Bao cao ra soat tam ung TPCP 2" xfId="2099"/>
    <cellStyle name="T_TDT + duong(8-5-07)" xfId="2100"/>
    <cellStyle name="T_TDT + duong(8-5-07) 2" xfId="2101"/>
    <cellStyle name="T_tham_tra_du_toan" xfId="2102"/>
    <cellStyle name="T_tham_tra_du_toan 2" xfId="2103"/>
    <cellStyle name="T_Thiet bi" xfId="2104"/>
    <cellStyle name="T_Thiet bi 2" xfId="2105"/>
    <cellStyle name="T_THKL 1303" xfId="2106"/>
    <cellStyle name="T_THKL 1303 2" xfId="2107"/>
    <cellStyle name="T_Thong ke" xfId="2108"/>
    <cellStyle name="T_Thong ke 2" xfId="2109"/>
    <cellStyle name="T_Thong ke cong" xfId="2110"/>
    <cellStyle name="T_Thong ke cong 2" xfId="2111"/>
    <cellStyle name="T_thong ke giao dan sinh" xfId="2112"/>
    <cellStyle name="T_thong ke giao dan sinh 2" xfId="2113"/>
    <cellStyle name="T_tien2004" xfId="2114"/>
    <cellStyle name="T_tien2004 2" xfId="2115"/>
    <cellStyle name="T_TKE-ChoDon-sua" xfId="2116"/>
    <cellStyle name="T_TKE-ChoDon-sua 2" xfId="2117"/>
    <cellStyle name="T_Tong hop 3 tinh (11_5)-TTH-QN-QT" xfId="2118"/>
    <cellStyle name="T_Tong hop 3 tinh (11_5)-TTH-QN-QT 2" xfId="2119"/>
    <cellStyle name="T_Tong hop khoi luong Dot 3" xfId="2120"/>
    <cellStyle name="T_Tong hop khoi luong Dot 3 2" xfId="2121"/>
    <cellStyle name="T_Tong hop theo doi von TPCP" xfId="2122"/>
    <cellStyle name="T_Tong hop theo doi von TPCP 2" xfId="2123"/>
    <cellStyle name="T_Tong hop theo doi von TPCP_Bao cao kiem toan kh 2010" xfId="2124"/>
    <cellStyle name="T_Tong hop theo doi von TPCP_Bao cao kiem toan kh 2010 2" xfId="2125"/>
    <cellStyle name="T_Tong hop theo doi von TPCP_Ke hoach 2010 (theo doi)2" xfId="2126"/>
    <cellStyle name="T_Tong hop theo doi von TPCP_Ke hoach 2010 (theo doi)2 2" xfId="2127"/>
    <cellStyle name="T_Tong hop theo doi von TPCP_QD UBND tinh" xfId="2128"/>
    <cellStyle name="T_Tong hop theo doi von TPCP_QD UBND tinh 2" xfId="2129"/>
    <cellStyle name="T_Tong hop theo doi von TPCP_Worksheet in D: My Documents Luc Van ban xu ly Nam 2011 Bao cao ra soat tam ung TPCP" xfId="2130"/>
    <cellStyle name="T_Tong hop theo doi von TPCP_Worksheet in D: My Documents Luc Van ban xu ly Nam 2011 Bao cao ra soat tam ung TPCP 2" xfId="2131"/>
    <cellStyle name="T_VBPL kiểm toán Đầu tư XDCB 2010" xfId="2132"/>
    <cellStyle name="T_VBPL kiểm toán Đầu tư XDCB 2010 2" xfId="2133"/>
    <cellStyle name="T_Worksheet in D: ... Hoan thien 5goi theo KL cu 28-06 4.Cong 5goi Coc 33-Km1+490.13 Cong coc 33-km1+490.13" xfId="2134"/>
    <cellStyle name="T_Worksheet in D: ... Hoan thien 5goi theo KL cu 28-06 4.Cong 5goi Coc 33-Km1+490.13 Cong coc 33-km1+490.13 2" xfId="2135"/>
    <cellStyle name="T_ÿÿÿÿÿ" xfId="2136"/>
    <cellStyle name="T_ÿÿÿÿÿ 2" xfId="2137"/>
    <cellStyle name="Text" xfId="2138"/>
    <cellStyle name="Text Indent A" xfId="2139"/>
    <cellStyle name="Text Indent B" xfId="2140"/>
    <cellStyle name="Text Indent C" xfId="2141"/>
    <cellStyle name="Text_Bao cao doan cong tac cua Bo thang 4-2010" xfId="2142"/>
    <cellStyle name="th" xfId="2143"/>
    <cellStyle name="th 2" xfId="2144"/>
    <cellStyle name="than" xfId="2145"/>
    <cellStyle name="thanh" xfId="2146"/>
    <cellStyle name="þ_x001d_ð¤_x000c_¯þ_x0014__x000d_¨þU_x0001_À_x0004_ _x0015__x000f__x0001__x0001_" xfId="2147"/>
    <cellStyle name="þ_x001d_ð·_x000c_æþ'_x000d_ßþU_x0001_Ø_x0005_ü_x0014__x0007__x0001__x0001_" xfId="2148"/>
    <cellStyle name="þ_x001d_ðÇ%Uý—&amp;Hý9_x0008_Ÿ s_x000a__x0007__x0001__x0001_" xfId="2149"/>
    <cellStyle name="þ_x001d_ðÇ%Uý—&amp;Hý9_x0008_Ÿ_x0009_s_x000a__x0007__x0001__x0001_" xfId="2150"/>
    <cellStyle name="þ_x001d_ðK_x000c_Fý_x001b__x000d_9ýU_x0001_Ð_x0008_¦)_x0007__x0001__x0001_" xfId="2151"/>
    <cellStyle name="thuong-10" xfId="2152"/>
    <cellStyle name="thuong-10 2" xfId="2378"/>
    <cellStyle name="thuong-11" xfId="2153"/>
    <cellStyle name="Thuyet minh" xfId="2154"/>
    <cellStyle name="Tien1" xfId="2155"/>
    <cellStyle name="Tien1 2" xfId="2379"/>
    <cellStyle name="Tiêu đề" xfId="2156"/>
    <cellStyle name="Times New Roman" xfId="2157"/>
    <cellStyle name="Tính toán" xfId="2158"/>
    <cellStyle name="Tính toán 2" xfId="2159"/>
    <cellStyle name="tit1" xfId="2160"/>
    <cellStyle name="tit2" xfId="2161"/>
    <cellStyle name="tit2 2" xfId="2162"/>
    <cellStyle name="tit3" xfId="2163"/>
    <cellStyle name="tit4" xfId="2164"/>
    <cellStyle name="Title 2" xfId="2165"/>
    <cellStyle name="Title 3" xfId="2166"/>
    <cellStyle name="Tổng" xfId="2167"/>
    <cellStyle name="Tổng 2" xfId="2168"/>
    <cellStyle name="Tongcong" xfId="2169"/>
    <cellStyle name="Tongcong 2" xfId="2170"/>
    <cellStyle name="Tốt" xfId="2171"/>
    <cellStyle name="Total 2" xfId="2172"/>
    <cellStyle name="Total 3" xfId="2173"/>
    <cellStyle name="Total 3 2" xfId="2174"/>
    <cellStyle name="Total 4" xfId="2175"/>
    <cellStyle name="trang" xfId="2176"/>
    <cellStyle name="Trung tính" xfId="2177"/>
    <cellStyle name="tt1" xfId="2178"/>
    <cellStyle name="Tuan" xfId="2179"/>
    <cellStyle name="Tusental (0)_pldt" xfId="2180"/>
    <cellStyle name="Tusental_pldt" xfId="2181"/>
    <cellStyle name="u" xfId="2182"/>
    <cellStyle name="ux_3_¼­¿ï-¾È»ê" xfId="2183"/>
    <cellStyle name="Valuta (0)_CALPREZZ" xfId="2184"/>
    <cellStyle name="Valuta_ PESO ELETTR." xfId="2185"/>
    <cellStyle name="Văn bản Cảnh báo" xfId="2186"/>
    <cellStyle name="Văn bản Giải thích" xfId="2187"/>
    <cellStyle name="VANG1" xfId="2188"/>
    <cellStyle name="viet" xfId="2189"/>
    <cellStyle name="viet2" xfId="2190"/>
    <cellStyle name="viet2 2" xfId="2191"/>
    <cellStyle name="Vietnam 1" xfId="2192"/>
    <cellStyle name="VN new romanNormal" xfId="2193"/>
    <cellStyle name="VN new romanNormal 2" xfId="2194"/>
    <cellStyle name="vn time 10" xfId="2195"/>
    <cellStyle name="Vn Time 13" xfId="2196"/>
    <cellStyle name="Vn Time 14" xfId="2197"/>
    <cellStyle name="VN time new roman" xfId="2198"/>
    <cellStyle name="VN time new roman 2" xfId="2199"/>
    <cellStyle name="vn_time" xfId="2200"/>
    <cellStyle name="vnbo" xfId="2201"/>
    <cellStyle name="vnbo 2" xfId="2202"/>
    <cellStyle name="vnhead1" xfId="2203"/>
    <cellStyle name="vnhead1 2" xfId="2204"/>
    <cellStyle name="vnhead2" xfId="2205"/>
    <cellStyle name="vnhead2 2" xfId="2206"/>
    <cellStyle name="vnhead3" xfId="2207"/>
    <cellStyle name="vnhead3 2" xfId="2208"/>
    <cellStyle name="vnhead4" xfId="2209"/>
    <cellStyle name="vntxt1" xfId="2210"/>
    <cellStyle name="vntxt2" xfId="2211"/>
    <cellStyle name="W?hrung [0]_35ERI8T2gbIEMixb4v26icuOo" xfId="2212"/>
    <cellStyle name="W?hrung_35ERI8T2gbIEMixb4v26icuOo" xfId="2213"/>
    <cellStyle name="Währung [0]_68574_Materialbedarfsliste" xfId="2214"/>
    <cellStyle name="Währung_68574_Materialbedarfsliste" xfId="2215"/>
    <cellStyle name="Walutowy [0]_Invoices2001Slovakia" xfId="2216"/>
    <cellStyle name="Walutowy_Invoices2001Slovakia" xfId="2217"/>
    <cellStyle name="Warning Text 2" xfId="2218"/>
    <cellStyle name="Warning Text 3" xfId="2219"/>
    <cellStyle name="wrap" xfId="2220"/>
    <cellStyle name="Wไhrung [0]_35ERI8T2gbIEMixb4v26icuOo" xfId="2221"/>
    <cellStyle name="Wไhrung_35ERI8T2gbIEMixb4v26icuOo" xfId="2222"/>
    <cellStyle name="Xấu" xfId="2223"/>
    <cellStyle name="xuan" xfId="2224"/>
    <cellStyle name="y" xfId="2225"/>
    <cellStyle name="Ý kh¸c_B¶ng 1 (2)" xfId="2226"/>
    <cellStyle name="เครื่องหมายสกุลเงิน [0]_FTC_OFFER" xfId="2227"/>
    <cellStyle name="เครื่องหมายสกุลเงิน_FTC_OFFER" xfId="2228"/>
    <cellStyle name="ปกติ_FTC_OFFER" xfId="2229"/>
    <cellStyle name=" [0.00]_ Att. 1- Cover" xfId="2230"/>
    <cellStyle name="_ Att. 1- Cover" xfId="2231"/>
    <cellStyle name="?_ Att. 1- Cover" xfId="2232"/>
    <cellStyle name="똿뗦먛귟 [0.00]_PRODUCT DETAIL Q1" xfId="2233"/>
    <cellStyle name="똿뗦먛귟_PRODUCT DETAIL Q1" xfId="2234"/>
    <cellStyle name="믅됞 [0.00]_PRODUCT DETAIL Q1" xfId="2235"/>
    <cellStyle name="믅됞_PRODUCT DETAIL Q1" xfId="2236"/>
    <cellStyle name="백분율_††††† " xfId="2237"/>
    <cellStyle name="뷭?_BOOKSHIP" xfId="2238"/>
    <cellStyle name="안건회계법인" xfId="2239"/>
    <cellStyle name="콤마 [ - 유형1" xfId="2240"/>
    <cellStyle name="콤마 [ - 유형2" xfId="2241"/>
    <cellStyle name="콤마 [ - 유형3" xfId="2242"/>
    <cellStyle name="콤마 [ - 유형4" xfId="2243"/>
    <cellStyle name="콤마 [ - 유형5" xfId="2244"/>
    <cellStyle name="콤마 [ - 유형6" xfId="2245"/>
    <cellStyle name="콤마 [ - 유형7" xfId="2246"/>
    <cellStyle name="콤마 [ - 유형8" xfId="2247"/>
    <cellStyle name="콤마 [0]_ 비목별 월별기술 " xfId="2248"/>
    <cellStyle name="콤마_ 비목별 월별기술 " xfId="2249"/>
    <cellStyle name="통화 [0]_††††† " xfId="2250"/>
    <cellStyle name="통화_††††† " xfId="2251"/>
    <cellStyle name="표준_ 97년 경영분석(안)" xfId="2252"/>
    <cellStyle name="표줠_Sheet1_1_총괄표 (수출입) (2)" xfId="2253"/>
    <cellStyle name="一般_00Q3902REV.1" xfId="2254"/>
    <cellStyle name="千分位[0]_00Q3902REV.1" xfId="2255"/>
    <cellStyle name="千分位_00Q3902REV.1" xfId="2256"/>
    <cellStyle name="桁区切り [0.00]_BE-BQ" xfId="2257"/>
    <cellStyle name="桁区切り_BE-BQ" xfId="2258"/>
    <cellStyle name="標準_(A1)BOQ " xfId="2259"/>
    <cellStyle name="貨幣 [0]_00Q3902REV.1" xfId="2260"/>
    <cellStyle name="貨幣[0]_BRE" xfId="2261"/>
    <cellStyle name="貨幣_00Q3902REV.1" xfId="2262"/>
    <cellStyle name="通貨 [0.00]_BE-BQ" xfId="2263"/>
    <cellStyle name="通貨_BE-BQ" xfId="2264"/>
  </cellStyles>
  <dxfs count="0"/>
  <tableStyles count="0" defaultTableStyle="TableStyleMedium9" defaultPivotStyle="PivotStyleLight16"/>
  <colors>
    <mruColors>
      <color rgb="FFFFFF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HaoDo\Nhi&#7879;m%20v&#7909;%20t&#7893;ng%20h&#7907;p\QUY&#7870;T%20TO&#193;N\N&#259;m%202022\HAO.%20Bieu%20QT%202022_%20ND%2031_cong%20thu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ONG%20HOP%202023\HO%20SO%20QUYET%20TOAN%202022\Tien%20sd%20d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AppData\Local\Temp\VNPT%20Plugin\1e8d73fd-e980-41e9-a3da-fb845a4575a1\Bieu%20QT%202022_%20ND%2031_TC&#272;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ONG%20HOP%202023\HO%20SO%20QUYET%20TOAN%202022\CAC%20BIEU%20QT%20N&#272;%2031\Nam%202022\Bieu%20QT%202022_%20ND%2031_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AppData\Local\Temp\VNPT%20Plugin\1e8d73fd-e980-41e9-a3da-fb845a4575a1\Bieu%20QT%202022_%20ND%2031_TC&#272;T_la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Tong hop phan cong"/>
      <sheetName val="Bieu 48_a Long"/>
      <sheetName val="Bieu 50_Hao"/>
      <sheetName val="Bieu 54"/>
      <sheetName val="TT 342"/>
    </sheetNames>
    <sheetDataSet>
      <sheetData sheetId="0" refreshError="1"/>
      <sheetData sheetId="1" refreshError="1"/>
      <sheetData sheetId="2" refreshError="1"/>
      <sheetData sheetId="3" refreshError="1"/>
      <sheetData sheetId="4" refreshError="1"/>
      <sheetData sheetId="5">
        <row r="14">
          <cell r="D14">
            <v>262000</v>
          </cell>
        </row>
        <row r="15">
          <cell r="D15">
            <v>8000</v>
          </cell>
        </row>
        <row r="16">
          <cell r="D16">
            <v>391000</v>
          </cell>
        </row>
        <row r="18">
          <cell r="D18">
            <v>35000</v>
          </cell>
        </row>
        <row r="19">
          <cell r="D19">
            <v>9000</v>
          </cell>
        </row>
        <row r="21">
          <cell r="D21">
            <v>1000</v>
          </cell>
        </row>
        <row r="24">
          <cell r="D24">
            <v>4000</v>
          </cell>
        </row>
        <row r="25">
          <cell r="D25">
            <v>4000</v>
          </cell>
        </row>
        <row r="30">
          <cell r="D30">
            <v>586700</v>
          </cell>
        </row>
        <row r="31">
          <cell r="D31">
            <v>35000</v>
          </cell>
        </row>
        <row r="32">
          <cell r="D32">
            <v>3300</v>
          </cell>
        </row>
        <row r="33">
          <cell r="D33">
            <v>165000</v>
          </cell>
        </row>
        <row r="35">
          <cell r="D35">
            <v>100000</v>
          </cell>
        </row>
        <row r="36">
          <cell r="D36">
            <v>0</v>
          </cell>
        </row>
        <row r="37">
          <cell r="D37">
            <v>3300</v>
          </cell>
        </row>
        <row r="38">
          <cell r="D38">
            <v>95000</v>
          </cell>
        </row>
        <row r="40">
          <cell r="D40">
            <v>145600</v>
          </cell>
          <cell r="E40">
            <v>0</v>
          </cell>
        </row>
        <row r="41">
          <cell r="D41">
            <v>134400</v>
          </cell>
        </row>
        <row r="42">
          <cell r="D42">
            <v>55000</v>
          </cell>
        </row>
        <row r="43">
          <cell r="D43">
            <v>8000</v>
          </cell>
          <cell r="H43">
            <v>65.952440999999993</v>
          </cell>
          <cell r="I43">
            <v>261.5</v>
          </cell>
        </row>
        <row r="45">
          <cell r="C45">
            <v>235000</v>
          </cell>
        </row>
        <row r="47">
          <cell r="D47">
            <v>22000</v>
          </cell>
        </row>
        <row r="49">
          <cell r="D49">
            <v>70000</v>
          </cell>
        </row>
        <row r="51">
          <cell r="D51">
            <v>90000</v>
          </cell>
        </row>
        <row r="54">
          <cell r="D54">
            <v>700</v>
          </cell>
        </row>
        <row r="55">
          <cell r="D55">
            <v>2000</v>
          </cell>
        </row>
        <row r="56">
          <cell r="D56">
            <v>60000</v>
          </cell>
        </row>
        <row r="59">
          <cell r="D59">
            <v>4500</v>
          </cell>
          <cell r="E59">
            <v>6968.4344369999999</v>
          </cell>
        </row>
        <row r="60">
          <cell r="D60">
            <v>3640</v>
          </cell>
          <cell r="E60">
            <v>7435.2183779999996</v>
          </cell>
        </row>
        <row r="61">
          <cell r="D61">
            <v>0</v>
          </cell>
        </row>
        <row r="62">
          <cell r="D62">
            <v>261860</v>
          </cell>
          <cell r="E62">
            <v>311046.13649100001</v>
          </cell>
        </row>
        <row r="63">
          <cell r="E63">
            <v>0.18809999999999999</v>
          </cell>
        </row>
        <row r="64">
          <cell r="E64">
            <v>653.89748899999995</v>
          </cell>
        </row>
        <row r="65">
          <cell r="E65">
            <v>0</v>
          </cell>
        </row>
        <row r="66">
          <cell r="E66">
            <v>300</v>
          </cell>
        </row>
        <row r="73">
          <cell r="E73">
            <v>22936.998068000001</v>
          </cell>
        </row>
        <row r="88">
          <cell r="E88">
            <v>2204821.3496130002</v>
          </cell>
        </row>
        <row r="89">
          <cell r="E89">
            <v>51794.075448000003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 cac cap huong"/>
      <sheetName val="Tien su dung dat"/>
      <sheetName val="Bieu 8_TTr "/>
      <sheetName val="DT chi TX 2022 theo ĐM HĐND"/>
      <sheetName val="TH chinh sach "/>
    </sheetNames>
    <sheetDataSet>
      <sheetData sheetId="0" refreshError="1"/>
      <sheetData sheetId="1">
        <row r="9">
          <cell r="C9">
            <v>296164.56334100006</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Tong hop phan cong"/>
      <sheetName val="Bieu 48_Tan"/>
      <sheetName val="Bieu 50_Hao"/>
      <sheetName val="Bieu 51_Tan"/>
      <sheetName val="bieu 52_Tan_"/>
      <sheetName val="bieu 53_Tan"/>
      <sheetName val="Bieu 54_Tan"/>
      <sheetName val="Bieu 54"/>
      <sheetName val="Bieu 58_Tan_Xong"/>
      <sheetName val="Bieu 59_Tan_Xong"/>
      <sheetName val="Bieu 61_Hien"/>
      <sheetName val="Bieu 61_ Hien_Xong"/>
      <sheetName val="Biêu 63_TCDN_Xong"/>
      <sheetName val="Biêu 64_C.Dung-xong"/>
    </sheetNames>
    <sheetDataSet>
      <sheetData sheetId="0" refreshError="1"/>
      <sheetData sheetId="1" refreshError="1"/>
      <sheetData sheetId="2" refreshError="1"/>
      <sheetData sheetId="3" refreshError="1"/>
      <sheetData sheetId="4" refreshError="1"/>
      <sheetData sheetId="5"/>
      <sheetData sheetId="6">
        <row r="43">
          <cell r="C43">
            <v>14968</v>
          </cell>
          <cell r="F43">
            <v>12113.023902999999</v>
          </cell>
        </row>
        <row r="44">
          <cell r="C44">
            <v>12750</v>
          </cell>
          <cell r="F44">
            <v>9184.7167270000009</v>
          </cell>
        </row>
        <row r="45">
          <cell r="C45">
            <v>220000</v>
          </cell>
          <cell r="F45">
            <v>90952.904225000006</v>
          </cell>
        </row>
        <row r="46">
          <cell r="C46">
            <v>44450</v>
          </cell>
          <cell r="F46">
            <v>35098.838778999998</v>
          </cell>
        </row>
        <row r="48">
          <cell r="C48">
            <v>726755</v>
          </cell>
          <cell r="F48">
            <v>449062.72099999996</v>
          </cell>
        </row>
        <row r="49">
          <cell r="C49">
            <v>154000</v>
          </cell>
          <cell r="F49">
            <v>165346.185895</v>
          </cell>
        </row>
        <row r="50">
          <cell r="C50">
            <v>189592</v>
          </cell>
          <cell r="F50">
            <v>219037.88592500001</v>
          </cell>
        </row>
        <row r="51">
          <cell r="C51">
            <v>20000</v>
          </cell>
          <cell r="F51">
            <v>44575.713831999994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Tong hop phan cong"/>
      <sheetName val="Bieu 48_Tan"/>
      <sheetName val="Bieu 50_Hao"/>
      <sheetName val="Bieu 51_Tan"/>
      <sheetName val="bieu 52_Tan_Xong"/>
      <sheetName val="bieu 53_Tan"/>
      <sheetName val="Bieu 54_Tan"/>
      <sheetName val="Bieu 54"/>
      <sheetName val="Bieu 58_Tan_Xong"/>
      <sheetName val="Bieu 59_Tan_Xong"/>
      <sheetName val="Bieu 61_Hien"/>
      <sheetName val="Bieu 61_ Hien_Xong"/>
      <sheetName val="Biêu 63_TCDN_Xong"/>
      <sheetName val="Biêu 64_C.Dung-xong"/>
    </sheetNames>
    <sheetDataSet>
      <sheetData sheetId="0"/>
      <sheetData sheetId="1"/>
      <sheetData sheetId="2"/>
      <sheetData sheetId="3"/>
      <sheetData sheetId="4"/>
      <sheetData sheetId="5">
        <row r="10">
          <cell r="D10">
            <v>2424547.4900000002</v>
          </cell>
        </row>
      </sheetData>
      <sheetData sheetId="6">
        <row r="8">
          <cell r="M8">
            <v>5884185.5425799992</v>
          </cell>
        </row>
        <row r="26">
          <cell r="G26">
            <v>9699.7659999999996</v>
          </cell>
        </row>
        <row r="27">
          <cell r="G27">
            <v>24154</v>
          </cell>
        </row>
        <row r="80">
          <cell r="G80">
            <v>1954866.6281059999</v>
          </cell>
        </row>
        <row r="81">
          <cell r="G81">
            <v>318370.00949199998</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Tong hop phan cong"/>
      <sheetName val="Bieu 48_Tan"/>
      <sheetName val="Bieu 50_Hao"/>
      <sheetName val="Bieu 51_Tan"/>
      <sheetName val="bieu 52_Tan_"/>
      <sheetName val="bieu 53_Tan"/>
      <sheetName val="Bieu 54_Tan"/>
      <sheetName val="Bieu 54"/>
      <sheetName val="Bieu 58_Tan_Xong"/>
      <sheetName val="Bieu 59_Tan_Xong"/>
      <sheetName val="Bieu 61_Hien"/>
      <sheetName val="Bieu 61_ Hien_Xong"/>
      <sheetName val="Biêu 63_TCDN_Xong"/>
      <sheetName val="Biêu 64_C.Dung-xong"/>
    </sheetNames>
    <sheetDataSet>
      <sheetData sheetId="0"/>
      <sheetData sheetId="1"/>
      <sheetData sheetId="2"/>
      <sheetData sheetId="3"/>
      <sheetData sheetId="4"/>
      <sheetData sheetId="5">
        <row r="10">
          <cell r="D10">
            <v>2424547.4900000002</v>
          </cell>
        </row>
      </sheetData>
      <sheetData sheetId="6">
        <row r="26">
          <cell r="G26">
            <v>9699.7659999999996</v>
          </cell>
        </row>
        <row r="27">
          <cell r="G27">
            <v>24154</v>
          </cell>
        </row>
        <row r="62">
          <cell r="G62">
            <v>318370.00949199998</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9"/>
  <sheetViews>
    <sheetView workbookViewId="0">
      <selection activeCell="C19" sqref="C19"/>
    </sheetView>
  </sheetViews>
  <sheetFormatPr defaultColWidth="9.140625" defaultRowHeight="15.75"/>
  <cols>
    <col min="1" max="3" width="9.140625" style="5"/>
    <col min="4" max="4" width="16.7109375" style="5" customWidth="1"/>
    <col min="5" max="6" width="15.7109375" style="5" customWidth="1"/>
    <col min="7" max="7" width="20.85546875" style="5" hidden="1" customWidth="1"/>
    <col min="8" max="9" width="20.5703125" style="5" hidden="1" customWidth="1"/>
    <col min="10" max="10" width="20.5703125" style="5" customWidth="1"/>
    <col min="11" max="11" width="9.140625" style="5"/>
    <col min="12" max="12" width="16.42578125" style="5" customWidth="1"/>
    <col min="13" max="13" width="24.28515625" style="5" customWidth="1"/>
    <col min="14" max="14" width="17.5703125" style="5" customWidth="1"/>
    <col min="15" max="16384" width="9.140625" style="5"/>
  </cols>
  <sheetData>
    <row r="3" spans="3:10" ht="49.5" customHeight="1">
      <c r="C3" s="1" t="s">
        <v>14</v>
      </c>
      <c r="D3" s="1" t="s">
        <v>0</v>
      </c>
      <c r="E3" s="2" t="s">
        <v>6</v>
      </c>
      <c r="F3" s="2" t="s">
        <v>13</v>
      </c>
      <c r="G3" s="3" t="s">
        <v>1</v>
      </c>
      <c r="H3" s="3" t="s">
        <v>5</v>
      </c>
      <c r="I3" s="4"/>
    </row>
    <row r="4" spans="3:10" ht="18" customHeight="1">
      <c r="C4" s="6">
        <v>2011</v>
      </c>
      <c r="D4" s="7">
        <v>1127</v>
      </c>
      <c r="E4" s="7"/>
      <c r="F4" s="581">
        <f>(E5+E6+E7+E8)/4</f>
        <v>10.717123307400957</v>
      </c>
      <c r="G4" s="3"/>
      <c r="H4" s="3"/>
      <c r="I4" s="4"/>
    </row>
    <row r="5" spans="3:10" ht="18" customHeight="1">
      <c r="C5" s="6">
        <v>2012</v>
      </c>
      <c r="D5" s="7">
        <v>1427</v>
      </c>
      <c r="E5" s="8">
        <f>(D5-D4)/D4*100</f>
        <v>26.619343389529725</v>
      </c>
      <c r="F5" s="582"/>
      <c r="G5" s="3"/>
      <c r="H5" s="3"/>
      <c r="I5" s="4"/>
    </row>
    <row r="6" spans="3:10" ht="18" customHeight="1">
      <c r="C6" s="6">
        <v>2013</v>
      </c>
      <c r="D6" s="7">
        <v>1448</v>
      </c>
      <c r="E6" s="8">
        <f t="shared" ref="E6:E7" si="0">(D6-D5)/D5*100</f>
        <v>1.4716187806587244</v>
      </c>
      <c r="F6" s="582"/>
      <c r="G6" s="3"/>
      <c r="H6" s="3"/>
      <c r="I6" s="4"/>
    </row>
    <row r="7" spans="3:10" ht="18" customHeight="1">
      <c r="C7" s="6">
        <v>2014</v>
      </c>
      <c r="D7" s="7">
        <v>1733</v>
      </c>
      <c r="E7" s="8">
        <f t="shared" si="0"/>
        <v>19.682320441988953</v>
      </c>
      <c r="F7" s="582"/>
      <c r="G7" s="3"/>
      <c r="H7" s="3"/>
      <c r="I7" s="4"/>
    </row>
    <row r="8" spans="3:10" ht="18" customHeight="1">
      <c r="C8" s="6">
        <v>2015</v>
      </c>
      <c r="D8" s="7">
        <v>1648</v>
      </c>
      <c r="E8" s="8">
        <f>(D8-D7)/D7*100</f>
        <v>-4.904789382573572</v>
      </c>
      <c r="F8" s="582"/>
      <c r="G8" s="3"/>
      <c r="H8" s="3"/>
      <c r="I8" s="4"/>
    </row>
    <row r="9" spans="3:10" ht="18" customHeight="1">
      <c r="C9" s="586" t="s">
        <v>15</v>
      </c>
      <c r="D9" s="587"/>
      <c r="E9" s="588"/>
      <c r="F9" s="583">
        <v>14</v>
      </c>
      <c r="G9" s="3"/>
      <c r="H9" s="3"/>
      <c r="I9" s="4"/>
    </row>
    <row r="10" spans="3:10" ht="3" customHeight="1">
      <c r="C10" s="589"/>
      <c r="D10" s="590"/>
      <c r="E10" s="591"/>
      <c r="F10" s="584"/>
      <c r="G10" s="3"/>
      <c r="H10" s="3"/>
      <c r="I10" s="4"/>
    </row>
    <row r="11" spans="3:10" ht="18" hidden="1" customHeight="1">
      <c r="C11" s="589"/>
      <c r="D11" s="590"/>
      <c r="E11" s="591"/>
      <c r="F11" s="584"/>
      <c r="G11" s="3"/>
      <c r="H11" s="3"/>
      <c r="I11" s="4"/>
    </row>
    <row r="12" spans="3:10" ht="18" hidden="1" customHeight="1">
      <c r="C12" s="589"/>
      <c r="D12" s="590"/>
      <c r="E12" s="591"/>
      <c r="F12" s="584"/>
      <c r="G12" s="3"/>
      <c r="H12" s="3"/>
      <c r="I12" s="4"/>
    </row>
    <row r="13" spans="3:10" ht="18" hidden="1" customHeight="1">
      <c r="C13" s="592"/>
      <c r="D13" s="593"/>
      <c r="E13" s="594"/>
      <c r="F13" s="585"/>
      <c r="G13" s="3"/>
      <c r="H13" s="3"/>
      <c r="I13" s="4"/>
    </row>
    <row r="14" spans="3:10">
      <c r="C14" s="6">
        <v>2021</v>
      </c>
      <c r="D14" s="7">
        <v>2670</v>
      </c>
      <c r="E14" s="8"/>
      <c r="F14" s="595">
        <f>SUM(E15:E18)/4</f>
        <v>14.788894279841934</v>
      </c>
      <c r="G14" s="9" t="e">
        <f>#REF!/#REF!*100</f>
        <v>#REF!</v>
      </c>
      <c r="H14" s="9"/>
      <c r="I14" s="10"/>
    </row>
    <row r="15" spans="3:10">
      <c r="C15" s="6">
        <v>2022</v>
      </c>
      <c r="D15" s="7">
        <v>2920</v>
      </c>
      <c r="E15" s="9">
        <f>(D15-D14)/D14*100</f>
        <v>9.3632958801498134</v>
      </c>
      <c r="F15" s="596"/>
      <c r="G15" s="9" t="e">
        <f>#REF!/#REF!*100</f>
        <v>#REF!</v>
      </c>
      <c r="H15" s="9" t="e">
        <f>G15-G14</f>
        <v>#REF!</v>
      </c>
      <c r="I15" s="10"/>
      <c r="J15" s="10"/>
    </row>
    <row r="16" spans="3:10">
      <c r="C16" s="6">
        <v>2023</v>
      </c>
      <c r="D16" s="7">
        <v>3335</v>
      </c>
      <c r="E16" s="9">
        <f t="shared" ref="E16:E17" si="1">(D16-D15)/D15*100</f>
        <v>14.212328767123289</v>
      </c>
      <c r="F16" s="596"/>
      <c r="G16" s="9" t="e">
        <f>#REF!/#REF!*100</f>
        <v>#REF!</v>
      </c>
      <c r="H16" s="9" t="e">
        <f t="shared" ref="H16:H18" si="2">G16-G15</f>
        <v>#REF!</v>
      </c>
      <c r="I16" s="10" t="e">
        <f>SUM(H15:H18)/4</f>
        <v>#REF!</v>
      </c>
    </row>
    <row r="17" spans="3:9">
      <c r="C17" s="6">
        <v>2024</v>
      </c>
      <c r="D17" s="7">
        <v>3774</v>
      </c>
      <c r="E17" s="9">
        <f t="shared" si="1"/>
        <v>13.163418290854572</v>
      </c>
      <c r="F17" s="596"/>
      <c r="G17" s="9" t="e">
        <f>#REF!/#REF!*100</f>
        <v>#REF!</v>
      </c>
      <c r="H17" s="9" t="e">
        <f t="shared" si="2"/>
        <v>#REF!</v>
      </c>
      <c r="I17" s="10"/>
    </row>
    <row r="18" spans="3:9">
      <c r="C18" s="6">
        <v>2025</v>
      </c>
      <c r="D18" s="7">
        <v>4620</v>
      </c>
      <c r="E18" s="9">
        <f>(D18-D17)/D17*100</f>
        <v>22.416534181240063</v>
      </c>
      <c r="F18" s="597"/>
      <c r="G18" s="9" t="e">
        <f>#REF!/#REF!*100</f>
        <v>#REF!</v>
      </c>
      <c r="H18" s="9" t="e">
        <f t="shared" si="2"/>
        <v>#REF!</v>
      </c>
      <c r="I18" s="10"/>
    </row>
    <row r="19" spans="3:9">
      <c r="C19" s="10"/>
      <c r="D19" s="10"/>
    </row>
    <row r="20" spans="3:9">
      <c r="C20" s="10"/>
    </row>
    <row r="21" spans="3:9" ht="63">
      <c r="C21" s="10"/>
      <c r="D21" s="2" t="s">
        <v>3</v>
      </c>
      <c r="E21" s="2" t="s">
        <v>7</v>
      </c>
      <c r="F21" s="11" t="s">
        <v>8</v>
      </c>
    </row>
    <row r="22" spans="3:9">
      <c r="C22" s="10"/>
      <c r="D22" s="1" t="s">
        <v>2</v>
      </c>
      <c r="E22" s="7">
        <v>14</v>
      </c>
      <c r="F22" s="12"/>
    </row>
    <row r="23" spans="3:9">
      <c r="C23" s="10"/>
      <c r="D23" s="1" t="s">
        <v>4</v>
      </c>
      <c r="E23" s="7">
        <v>14.8</v>
      </c>
      <c r="F23" s="12">
        <f>E23-E22</f>
        <v>0.80000000000000071</v>
      </c>
    </row>
    <row r="24" spans="3:9">
      <c r="C24" s="10"/>
      <c r="D24" s="1" t="s">
        <v>9</v>
      </c>
      <c r="E24" s="8">
        <f>E23+$F$23</f>
        <v>15.600000000000001</v>
      </c>
      <c r="F24" s="12"/>
    </row>
    <row r="25" spans="3:9">
      <c r="C25" s="10"/>
      <c r="D25" s="1" t="s">
        <v>10</v>
      </c>
      <c r="E25" s="8">
        <f>E24+$F$23</f>
        <v>16.400000000000002</v>
      </c>
      <c r="F25" s="12"/>
    </row>
    <row r="26" spans="3:9">
      <c r="C26" s="10"/>
      <c r="D26" s="1" t="s">
        <v>11</v>
      </c>
      <c r="E26" s="8">
        <f>E25+$F$23</f>
        <v>17.200000000000003</v>
      </c>
      <c r="F26" s="12"/>
    </row>
    <row r="27" spans="3:9">
      <c r="C27" s="10"/>
      <c r="D27" s="1" t="s">
        <v>12</v>
      </c>
      <c r="E27" s="8">
        <f>E26+$F$23</f>
        <v>18.000000000000004</v>
      </c>
      <c r="F27" s="12"/>
    </row>
    <row r="28" spans="3:9">
      <c r="C28" s="10"/>
    </row>
    <row r="29" spans="3:9">
      <c r="C29" s="10"/>
    </row>
    <row r="30" spans="3:9">
      <c r="C30" s="10"/>
    </row>
    <row r="31" spans="3:9">
      <c r="C31" s="10"/>
    </row>
    <row r="32" spans="3:9">
      <c r="C32" s="10"/>
    </row>
    <row r="33" spans="3:10">
      <c r="C33" s="10"/>
    </row>
    <row r="34" spans="3:10">
      <c r="C34" s="10"/>
    </row>
    <row r="35" spans="3:10">
      <c r="C35" s="10"/>
    </row>
    <row r="36" spans="3:10">
      <c r="C36" s="10"/>
    </row>
    <row r="37" spans="3:10">
      <c r="C37" s="10"/>
    </row>
    <row r="38" spans="3:10">
      <c r="C38" s="10"/>
    </row>
    <row r="39" spans="3:10">
      <c r="J39" s="10"/>
    </row>
  </sheetData>
  <mergeCells count="4">
    <mergeCell ref="F4:F8"/>
    <mergeCell ref="F9:F13"/>
    <mergeCell ref="C9:E13"/>
    <mergeCell ref="F14:F1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Zeros="0" topLeftCell="A10" zoomScale="80" zoomScaleNormal="80" workbookViewId="0">
      <pane xSplit="2" ySplit="1" topLeftCell="C11" activePane="bottomRight" state="frozen"/>
      <selection activeCell="A10" sqref="A10"/>
      <selection pane="topRight" activeCell="C10" sqref="C10"/>
      <selection pane="bottomLeft" activeCell="A11" sqref="A11"/>
      <selection pane="bottomRight" activeCell="J18" sqref="J18"/>
    </sheetView>
  </sheetViews>
  <sheetFormatPr defaultColWidth="9.140625" defaultRowHeight="15" outlineLevelCol="1"/>
  <cols>
    <col min="1" max="1" width="4.7109375" style="370" customWidth="1"/>
    <col min="2" max="2" width="23" style="370" customWidth="1"/>
    <col min="3" max="3" width="11.28515625" style="370" customWidth="1"/>
    <col min="4" max="4" width="8.140625" style="370" customWidth="1" outlineLevel="1"/>
    <col min="5" max="5" width="7.7109375" style="370" customWidth="1" outlineLevel="1"/>
    <col min="6" max="6" width="7.42578125" style="370" customWidth="1" outlineLevel="1"/>
    <col min="7" max="7" width="9.7109375" style="370" customWidth="1" outlineLevel="1"/>
    <col min="8" max="8" width="9.5703125" style="370" customWidth="1" outlineLevel="1"/>
    <col min="9" max="9" width="8.140625" style="370" customWidth="1" outlineLevel="1"/>
    <col min="10" max="10" width="9.28515625" style="370" customWidth="1" outlineLevel="1"/>
    <col min="11" max="11" width="9.140625" style="370" customWidth="1" outlineLevel="1"/>
    <col min="12" max="12" width="10.42578125" style="370" customWidth="1" outlineLevel="1"/>
    <col min="13" max="13" width="10.28515625" style="370" customWidth="1" outlineLevel="1"/>
    <col min="14" max="15" width="9.5703125" style="370" customWidth="1" outlineLevel="1"/>
    <col min="16" max="16" width="13.85546875" style="370" customWidth="1"/>
    <col min="17" max="18" width="11.5703125" style="370" customWidth="1" outlineLevel="1"/>
    <col min="19" max="19" width="9.140625" style="370" customWidth="1" outlineLevel="1"/>
    <col min="20" max="20" width="12" style="370" customWidth="1" outlineLevel="1"/>
    <col min="21" max="21" width="11.42578125" style="370" customWidth="1" outlineLevel="1"/>
    <col min="22" max="23" width="9.140625" style="370" customWidth="1" outlineLevel="1"/>
    <col min="24" max="24" width="9.85546875" style="370" customWidth="1" outlineLevel="1"/>
    <col min="25" max="25" width="9.140625" style="370" customWidth="1" outlineLevel="1"/>
    <col min="26" max="27" width="11.140625" style="370" customWidth="1" outlineLevel="1"/>
    <col min="28" max="28" width="9.7109375" style="370" customWidth="1"/>
    <col min="29" max="33" width="9.140625" style="370" customWidth="1" outlineLevel="1"/>
    <col min="34" max="16384" width="9.140625" style="370"/>
  </cols>
  <sheetData>
    <row r="1" spans="1:34">
      <c r="AE1" s="635" t="s">
        <v>349</v>
      </c>
      <c r="AF1" s="635"/>
    </row>
    <row r="2" spans="1:34" ht="15" customHeight="1">
      <c r="A2" s="620" t="s">
        <v>647</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row>
    <row r="3" spans="1:34">
      <c r="A3" s="639" t="s">
        <v>641</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row>
    <row r="4" spans="1:34" hidden="1">
      <c r="A4" s="495"/>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4">
      <c r="A5" s="495"/>
      <c r="B5" s="495"/>
      <c r="C5" s="495"/>
      <c r="D5" s="495"/>
      <c r="E5" s="495"/>
      <c r="F5" s="495"/>
      <c r="G5" s="495"/>
      <c r="H5" s="495"/>
      <c r="I5" s="495"/>
      <c r="J5" s="495"/>
      <c r="K5" s="495"/>
      <c r="L5" s="495"/>
      <c r="M5" s="495"/>
      <c r="N5" s="495"/>
      <c r="O5" s="495"/>
      <c r="P5" s="496"/>
      <c r="Q5" s="496"/>
      <c r="R5" s="496"/>
      <c r="S5" s="496"/>
      <c r="T5" s="496"/>
      <c r="U5" s="496"/>
      <c r="V5" s="496"/>
      <c r="W5" s="496"/>
      <c r="X5" s="496"/>
      <c r="Y5" s="496"/>
      <c r="Z5" s="496"/>
      <c r="AA5" s="496"/>
      <c r="AB5" s="495"/>
      <c r="AC5" s="495"/>
      <c r="AD5" s="495"/>
      <c r="AE5" s="495"/>
      <c r="AF5" s="495"/>
    </row>
    <row r="6" spans="1:34">
      <c r="A6" s="437"/>
      <c r="B6" s="437"/>
      <c r="C6" s="437"/>
      <c r="D6" s="437"/>
      <c r="E6" s="437"/>
      <c r="F6" s="437"/>
      <c r="G6" s="437"/>
      <c r="H6" s="437"/>
      <c r="I6" s="437"/>
      <c r="J6" s="437"/>
      <c r="K6" s="437"/>
      <c r="L6" s="437"/>
      <c r="M6" s="437"/>
      <c r="N6" s="437"/>
      <c r="O6" s="437"/>
      <c r="P6" s="437"/>
      <c r="Q6" s="497"/>
      <c r="R6" s="437"/>
      <c r="S6" s="437"/>
      <c r="T6" s="437"/>
      <c r="U6" s="437"/>
      <c r="V6" s="437"/>
      <c r="W6" s="437"/>
      <c r="X6" s="437"/>
      <c r="Y6" s="437"/>
      <c r="Z6" s="437"/>
      <c r="AA6" s="437"/>
      <c r="AB6" s="437"/>
      <c r="AC6" s="621" t="s">
        <v>470</v>
      </c>
      <c r="AD6" s="621"/>
      <c r="AE6" s="621"/>
      <c r="AF6" s="621"/>
    </row>
    <row r="7" spans="1:34" ht="24.75" customHeight="1">
      <c r="A7" s="607" t="s">
        <v>16</v>
      </c>
      <c r="B7" s="636" t="s">
        <v>474</v>
      </c>
      <c r="C7" s="640" t="s">
        <v>18</v>
      </c>
      <c r="D7" s="641"/>
      <c r="E7" s="641"/>
      <c r="F7" s="641"/>
      <c r="G7" s="641"/>
      <c r="H7" s="641"/>
      <c r="I7" s="641"/>
      <c r="J7" s="641"/>
      <c r="K7" s="641"/>
      <c r="L7" s="641"/>
      <c r="M7" s="641"/>
      <c r="N7" s="641"/>
      <c r="O7" s="642"/>
      <c r="P7" s="640" t="s">
        <v>19</v>
      </c>
      <c r="Q7" s="641"/>
      <c r="R7" s="641"/>
      <c r="S7" s="641"/>
      <c r="T7" s="641"/>
      <c r="U7" s="641"/>
      <c r="V7" s="641"/>
      <c r="W7" s="641"/>
      <c r="X7" s="641"/>
      <c r="Y7" s="641"/>
      <c r="Z7" s="641"/>
      <c r="AA7" s="642"/>
      <c r="AB7" s="607" t="s">
        <v>64</v>
      </c>
      <c r="AC7" s="607"/>
      <c r="AD7" s="607"/>
      <c r="AE7" s="607"/>
      <c r="AF7" s="607"/>
      <c r="AG7" s="607"/>
    </row>
    <row r="8" spans="1:34" ht="26.25" customHeight="1">
      <c r="A8" s="607"/>
      <c r="B8" s="637"/>
      <c r="C8" s="607" t="s">
        <v>153</v>
      </c>
      <c r="D8" s="607" t="s">
        <v>43</v>
      </c>
      <c r="E8" s="607"/>
      <c r="F8" s="607"/>
      <c r="G8" s="607" t="s">
        <v>44</v>
      </c>
      <c r="H8" s="607"/>
      <c r="I8" s="607"/>
      <c r="J8" s="636" t="s">
        <v>272</v>
      </c>
      <c r="K8" s="607" t="s">
        <v>158</v>
      </c>
      <c r="L8" s="607"/>
      <c r="M8" s="607"/>
      <c r="N8" s="607" t="s">
        <v>50</v>
      </c>
      <c r="O8" s="607" t="s">
        <v>576</v>
      </c>
      <c r="P8" s="607" t="s">
        <v>153</v>
      </c>
      <c r="Q8" s="607" t="s">
        <v>43</v>
      </c>
      <c r="R8" s="607"/>
      <c r="S8" s="607"/>
      <c r="T8" s="607" t="s">
        <v>44</v>
      </c>
      <c r="U8" s="607"/>
      <c r="V8" s="607"/>
      <c r="W8" s="607" t="s">
        <v>158</v>
      </c>
      <c r="X8" s="607"/>
      <c r="Y8" s="607"/>
      <c r="Z8" s="607" t="s">
        <v>50</v>
      </c>
      <c r="AA8" s="607" t="s">
        <v>576</v>
      </c>
      <c r="AB8" s="636" t="s">
        <v>153</v>
      </c>
      <c r="AC8" s="636" t="s">
        <v>43</v>
      </c>
      <c r="AD8" s="636" t="s">
        <v>44</v>
      </c>
      <c r="AE8" s="636" t="s">
        <v>158</v>
      </c>
      <c r="AF8" s="636" t="s">
        <v>50</v>
      </c>
      <c r="AG8" s="607" t="s">
        <v>576</v>
      </c>
    </row>
    <row r="9" spans="1:34">
      <c r="A9" s="607"/>
      <c r="B9" s="637"/>
      <c r="C9" s="607"/>
      <c r="D9" s="607" t="s">
        <v>153</v>
      </c>
      <c r="E9" s="607" t="s">
        <v>159</v>
      </c>
      <c r="F9" s="607"/>
      <c r="G9" s="607" t="s">
        <v>153</v>
      </c>
      <c r="H9" s="607" t="s">
        <v>159</v>
      </c>
      <c r="I9" s="607"/>
      <c r="J9" s="637"/>
      <c r="K9" s="607" t="s">
        <v>153</v>
      </c>
      <c r="L9" s="607" t="s">
        <v>159</v>
      </c>
      <c r="M9" s="607"/>
      <c r="N9" s="607"/>
      <c r="O9" s="607"/>
      <c r="P9" s="607"/>
      <c r="Q9" s="607" t="s">
        <v>153</v>
      </c>
      <c r="R9" s="607" t="s">
        <v>159</v>
      </c>
      <c r="S9" s="607"/>
      <c r="T9" s="607" t="s">
        <v>153</v>
      </c>
      <c r="U9" s="607" t="s">
        <v>159</v>
      </c>
      <c r="V9" s="607"/>
      <c r="W9" s="607" t="s">
        <v>153</v>
      </c>
      <c r="X9" s="607" t="s">
        <v>159</v>
      </c>
      <c r="Y9" s="607"/>
      <c r="Z9" s="607"/>
      <c r="AA9" s="607"/>
      <c r="AB9" s="637"/>
      <c r="AC9" s="637"/>
      <c r="AD9" s="637"/>
      <c r="AE9" s="637"/>
      <c r="AF9" s="637"/>
      <c r="AG9" s="607"/>
    </row>
    <row r="10" spans="1:34" ht="108.75" customHeight="1">
      <c r="A10" s="607"/>
      <c r="B10" s="638"/>
      <c r="C10" s="607"/>
      <c r="D10" s="607"/>
      <c r="E10" s="35" t="s">
        <v>160</v>
      </c>
      <c r="F10" s="35" t="s">
        <v>161</v>
      </c>
      <c r="G10" s="607"/>
      <c r="H10" s="35" t="s">
        <v>160</v>
      </c>
      <c r="I10" s="35" t="s">
        <v>161</v>
      </c>
      <c r="J10" s="638"/>
      <c r="K10" s="607"/>
      <c r="L10" s="35" t="s">
        <v>43</v>
      </c>
      <c r="M10" s="35" t="s">
        <v>44</v>
      </c>
      <c r="N10" s="607"/>
      <c r="O10" s="607"/>
      <c r="P10" s="607"/>
      <c r="Q10" s="607"/>
      <c r="R10" s="35" t="s">
        <v>160</v>
      </c>
      <c r="S10" s="35" t="s">
        <v>161</v>
      </c>
      <c r="T10" s="607"/>
      <c r="U10" s="35" t="s">
        <v>160</v>
      </c>
      <c r="V10" s="35" t="s">
        <v>161</v>
      </c>
      <c r="W10" s="607"/>
      <c r="X10" s="35" t="s">
        <v>43</v>
      </c>
      <c r="Y10" s="35" t="s">
        <v>44</v>
      </c>
      <c r="Z10" s="607"/>
      <c r="AA10" s="607"/>
      <c r="AB10" s="638"/>
      <c r="AC10" s="638"/>
      <c r="AD10" s="638"/>
      <c r="AE10" s="638"/>
      <c r="AF10" s="638"/>
      <c r="AG10" s="607"/>
    </row>
    <row r="11" spans="1:34">
      <c r="A11" s="35" t="s">
        <v>23</v>
      </c>
      <c r="B11" s="35" t="s">
        <v>24</v>
      </c>
      <c r="C11" s="35">
        <v>1</v>
      </c>
      <c r="D11" s="35">
        <v>2</v>
      </c>
      <c r="E11" s="35">
        <v>3</v>
      </c>
      <c r="F11" s="35">
        <v>4</v>
      </c>
      <c r="G11" s="35">
        <v>5</v>
      </c>
      <c r="H11" s="35">
        <v>6</v>
      </c>
      <c r="I11" s="35">
        <v>7</v>
      </c>
      <c r="J11" s="35">
        <v>8</v>
      </c>
      <c r="K11" s="35">
        <v>9</v>
      </c>
      <c r="L11" s="35">
        <v>10</v>
      </c>
      <c r="M11" s="35">
        <v>11</v>
      </c>
      <c r="N11" s="35">
        <v>12</v>
      </c>
      <c r="O11" s="35">
        <v>13</v>
      </c>
      <c r="P11" s="35">
        <v>14</v>
      </c>
      <c r="Q11" s="35">
        <v>15</v>
      </c>
      <c r="R11" s="35">
        <v>16</v>
      </c>
      <c r="S11" s="35">
        <v>17</v>
      </c>
      <c r="T11" s="35">
        <v>18</v>
      </c>
      <c r="U11" s="35">
        <v>19</v>
      </c>
      <c r="V11" s="35">
        <v>20</v>
      </c>
      <c r="W11" s="35">
        <v>21</v>
      </c>
      <c r="X11" s="35">
        <v>22</v>
      </c>
      <c r="Y11" s="35">
        <v>23</v>
      </c>
      <c r="Z11" s="35">
        <v>24</v>
      </c>
      <c r="AA11" s="35">
        <v>25</v>
      </c>
      <c r="AB11" s="35">
        <v>26</v>
      </c>
      <c r="AC11" s="35">
        <v>27</v>
      </c>
      <c r="AD11" s="35">
        <v>28</v>
      </c>
      <c r="AE11" s="35">
        <v>29</v>
      </c>
      <c r="AF11" s="35">
        <v>30</v>
      </c>
      <c r="AG11" s="35">
        <v>31</v>
      </c>
    </row>
    <row r="12" spans="1:34" s="400" customFormat="1" ht="21.75" customHeight="1">
      <c r="A12" s="39"/>
      <c r="B12" s="39" t="s">
        <v>155</v>
      </c>
      <c r="C12" s="36">
        <f>SUM(C13:C22)</f>
        <v>4730720</v>
      </c>
      <c r="D12" s="36">
        <f t="shared" ref="D12:AA12" si="0">SUM(D13:D22)</f>
        <v>663446</v>
      </c>
      <c r="E12" s="36">
        <f t="shared" si="0"/>
        <v>98832.66</v>
      </c>
      <c r="F12" s="36">
        <f t="shared" si="0"/>
        <v>0</v>
      </c>
      <c r="G12" s="36">
        <f t="shared" si="0"/>
        <v>3219455</v>
      </c>
      <c r="H12" s="36">
        <f t="shared" si="0"/>
        <v>1864598</v>
      </c>
      <c r="I12" s="36">
        <f t="shared" si="0"/>
        <v>1500</v>
      </c>
      <c r="J12" s="36">
        <f t="shared" si="0"/>
        <v>74708</v>
      </c>
      <c r="K12" s="36">
        <f t="shared" si="0"/>
        <v>773111</v>
      </c>
      <c r="L12" s="36">
        <f t="shared" si="0"/>
        <v>607500</v>
      </c>
      <c r="M12" s="36">
        <f t="shared" si="0"/>
        <v>165611</v>
      </c>
      <c r="N12" s="36">
        <f t="shared" si="0"/>
        <v>0</v>
      </c>
      <c r="O12" s="36">
        <f t="shared" si="0"/>
        <v>0</v>
      </c>
      <c r="P12" s="36">
        <f>SUM(P13:P22)</f>
        <v>6121002.1948520001</v>
      </c>
      <c r="Q12" s="36">
        <f t="shared" si="0"/>
        <v>748783.24789600016</v>
      </c>
      <c r="R12" s="36">
        <f t="shared" si="0"/>
        <v>148533.48655399997</v>
      </c>
      <c r="S12" s="36">
        <f t="shared" si="0"/>
        <v>0</v>
      </c>
      <c r="T12" s="36">
        <f t="shared" si="0"/>
        <v>3288628.0543240001</v>
      </c>
      <c r="U12" s="36">
        <f t="shared" si="0"/>
        <v>1860395.4347450002</v>
      </c>
      <c r="V12" s="36">
        <f t="shared" si="0"/>
        <v>1526.7844799999998</v>
      </c>
      <c r="W12" s="36">
        <f t="shared" si="0"/>
        <v>280456.53367899999</v>
      </c>
      <c r="X12" s="36">
        <f t="shared" si="0"/>
        <v>233145.09021700002</v>
      </c>
      <c r="Y12" s="36">
        <f t="shared" si="0"/>
        <v>47311.443461999996</v>
      </c>
      <c r="Z12" s="36">
        <f t="shared" si="0"/>
        <v>1608542.6870130002</v>
      </c>
      <c r="AA12" s="36">
        <f t="shared" si="0"/>
        <v>194591.67194</v>
      </c>
      <c r="AB12" s="490">
        <f t="shared" ref="AB12:AC12" si="1">P12/C12*100</f>
        <v>129.38838474591606</v>
      </c>
      <c r="AC12" s="490">
        <f t="shared" si="1"/>
        <v>112.86272701862701</v>
      </c>
      <c r="AD12" s="490">
        <f t="shared" ref="AD12" si="2">T12/G12*100</f>
        <v>102.14859516048524</v>
      </c>
      <c r="AE12" s="209">
        <f>W12/K12</f>
        <v>0.36276360532834223</v>
      </c>
      <c r="AF12" s="38"/>
      <c r="AG12" s="38"/>
      <c r="AH12" s="498"/>
    </row>
    <row r="13" spans="1:34" ht="21.75" customHeight="1">
      <c r="A13" s="456">
        <v>1</v>
      </c>
      <c r="B13" s="469" t="s">
        <v>294</v>
      </c>
      <c r="C13" s="446">
        <f>D13+G13+J13+K13+N13+O13</f>
        <v>1030281</v>
      </c>
      <c r="D13" s="446">
        <f>195743+169736</f>
        <v>365479</v>
      </c>
      <c r="E13" s="446">
        <v>57224</v>
      </c>
      <c r="F13" s="446"/>
      <c r="G13" s="446">
        <v>618599</v>
      </c>
      <c r="H13" s="446">
        <v>348627</v>
      </c>
      <c r="I13" s="446">
        <v>150</v>
      </c>
      <c r="J13" s="446">
        <v>17838</v>
      </c>
      <c r="K13" s="446">
        <f>L13+M13</f>
        <v>28365</v>
      </c>
      <c r="L13" s="446">
        <f>'Bieu 61'!D43</f>
        <v>18768</v>
      </c>
      <c r="M13" s="446">
        <f>'Bieu 61'!E43</f>
        <v>9597</v>
      </c>
      <c r="N13" s="446"/>
      <c r="O13" s="446"/>
      <c r="P13" s="446">
        <f>Q13+T13+W13+Z13+AA13</f>
        <v>1215126.5260670001</v>
      </c>
      <c r="Q13" s="446">
        <v>319843.34006100002</v>
      </c>
      <c r="R13" s="446">
        <v>53051.902902000002</v>
      </c>
      <c r="S13" s="446"/>
      <c r="T13" s="446">
        <v>625629.13447699999</v>
      </c>
      <c r="U13" s="446">
        <v>345391.29887499998</v>
      </c>
      <c r="V13" s="446">
        <v>150.91999999999999</v>
      </c>
      <c r="W13" s="446">
        <f>X13+Y13</f>
        <v>16779.143854999998</v>
      </c>
      <c r="X13" s="446">
        <f>'Bieu 61'!AB43</f>
        <v>15303.146761</v>
      </c>
      <c r="Y13" s="446">
        <f>'Bieu 61'!AC43</f>
        <v>1475.9970939999998</v>
      </c>
      <c r="Z13" s="446">
        <v>196497.702074</v>
      </c>
      <c r="AA13" s="446">
        <v>56377.205600000001</v>
      </c>
      <c r="AB13" s="175">
        <f>P13/C13</f>
        <v>1.1794127292136807</v>
      </c>
      <c r="AC13" s="175">
        <f>Q13/D13</f>
        <v>0.87513465906659482</v>
      </c>
      <c r="AD13" s="175">
        <f>T13/G13</f>
        <v>1.0113646069214466</v>
      </c>
      <c r="AE13" s="175">
        <f>W13/K13</f>
        <v>0.5915439398907103</v>
      </c>
      <c r="AF13" s="491"/>
      <c r="AG13" s="491"/>
      <c r="AH13" s="498"/>
    </row>
    <row r="14" spans="1:34" ht="21.75" customHeight="1">
      <c r="A14" s="456">
        <v>2</v>
      </c>
      <c r="B14" s="469" t="s">
        <v>295</v>
      </c>
      <c r="C14" s="446">
        <f t="shared" ref="C14:C21" si="3">D14+G14+J14+K14+N14+O14</f>
        <v>506649</v>
      </c>
      <c r="D14" s="446">
        <v>32507</v>
      </c>
      <c r="E14" s="446">
        <v>5800</v>
      </c>
      <c r="F14" s="446"/>
      <c r="G14" s="446">
        <v>406730</v>
      </c>
      <c r="H14" s="446">
        <v>256832</v>
      </c>
      <c r="I14" s="446">
        <v>150</v>
      </c>
      <c r="J14" s="446">
        <v>8605</v>
      </c>
      <c r="K14" s="446">
        <f t="shared" ref="K14:K22" si="4">L14+M14</f>
        <v>58807</v>
      </c>
      <c r="L14" s="446">
        <f>'Bieu 61'!D44</f>
        <v>42300</v>
      </c>
      <c r="M14" s="446">
        <f>'Bieu 61'!E44</f>
        <v>16507</v>
      </c>
      <c r="N14" s="446"/>
      <c r="O14" s="446"/>
      <c r="P14" s="446">
        <f>Q14+T14+W14+Z14+AA14</f>
        <v>611040.71743299998</v>
      </c>
      <c r="Q14" s="170">
        <v>64290.521966999993</v>
      </c>
      <c r="R14" s="170">
        <v>13825.754924000001</v>
      </c>
      <c r="S14" s="170"/>
      <c r="T14" s="170">
        <v>397577.76132799999</v>
      </c>
      <c r="U14" s="170">
        <v>240288.058177</v>
      </c>
      <c r="V14" s="170">
        <v>150</v>
      </c>
      <c r="W14" s="446">
        <f t="shared" ref="W14:W22" si="5">X14+Y14</f>
        <v>28290.677339000002</v>
      </c>
      <c r="X14" s="446">
        <f>'Bieu 61'!AB44</f>
        <v>21830.124605000001</v>
      </c>
      <c r="Y14" s="446">
        <f>'Bieu 61'!AC44</f>
        <v>6460.552733999999</v>
      </c>
      <c r="Z14" s="170">
        <v>109160.944218</v>
      </c>
      <c r="AA14" s="170">
        <v>11720.812581</v>
      </c>
      <c r="AB14" s="175">
        <f t="shared" ref="AB14:AC21" si="6">P14/C14</f>
        <v>1.2060434688176627</v>
      </c>
      <c r="AC14" s="175">
        <f t="shared" si="6"/>
        <v>1.9777439310610021</v>
      </c>
      <c r="AD14" s="175">
        <f t="shared" ref="AD14:AD21" si="7">T14/G14</f>
        <v>0.9774979994787697</v>
      </c>
      <c r="AE14" s="175">
        <f t="shared" ref="AE14:AE22" si="8">W14/K14</f>
        <v>0.48107669731494551</v>
      </c>
      <c r="AF14" s="176"/>
      <c r="AG14" s="176"/>
      <c r="AH14" s="498"/>
    </row>
    <row r="15" spans="1:34" ht="21.75" customHeight="1">
      <c r="A15" s="456">
        <v>3</v>
      </c>
      <c r="B15" s="469" t="s">
        <v>296</v>
      </c>
      <c r="C15" s="446">
        <f t="shared" si="3"/>
        <v>383515</v>
      </c>
      <c r="D15" s="446">
        <v>23932</v>
      </c>
      <c r="E15" s="446">
        <v>5245.66</v>
      </c>
      <c r="F15" s="446"/>
      <c r="G15" s="446">
        <v>302644</v>
      </c>
      <c r="H15" s="446">
        <v>190771</v>
      </c>
      <c r="I15" s="446">
        <v>150</v>
      </c>
      <c r="J15" s="446">
        <v>6400</v>
      </c>
      <c r="K15" s="446">
        <f t="shared" si="4"/>
        <v>50539</v>
      </c>
      <c r="L15" s="446">
        <f>'Bieu 61'!D45</f>
        <v>36244</v>
      </c>
      <c r="M15" s="446">
        <f>'Bieu 61'!E45</f>
        <v>14295</v>
      </c>
      <c r="N15" s="446"/>
      <c r="O15" s="446"/>
      <c r="P15" s="446">
        <f t="shared" ref="P15:P22" si="9">Q15+T15+W15+Z15+AA15</f>
        <v>512041.73984400003</v>
      </c>
      <c r="Q15" s="446">
        <v>32689.324999999997</v>
      </c>
      <c r="R15" s="446">
        <v>9602.1190000000006</v>
      </c>
      <c r="S15" s="446"/>
      <c r="T15" s="446">
        <v>309982.35635000002</v>
      </c>
      <c r="U15" s="446">
        <v>193749.17389499999</v>
      </c>
      <c r="V15" s="446">
        <v>135</v>
      </c>
      <c r="W15" s="446">
        <f t="shared" si="5"/>
        <v>30727.651472000001</v>
      </c>
      <c r="X15" s="446">
        <f>'Bieu 61'!AB45</f>
        <v>25637.61</v>
      </c>
      <c r="Y15" s="446">
        <f>'Bieu 61'!AC45</f>
        <v>5090.0414720000008</v>
      </c>
      <c r="Z15" s="446">
        <v>102874.080831</v>
      </c>
      <c r="AA15" s="446">
        <v>35768.326191</v>
      </c>
      <c r="AB15" s="175">
        <f t="shared" si="6"/>
        <v>1.335128325734326</v>
      </c>
      <c r="AC15" s="175">
        <f t="shared" si="6"/>
        <v>1.3659253301019554</v>
      </c>
      <c r="AD15" s="175">
        <f t="shared" si="7"/>
        <v>1.0242474866509828</v>
      </c>
      <c r="AE15" s="175">
        <f t="shared" si="8"/>
        <v>0.60799880235065995</v>
      </c>
      <c r="AF15" s="491"/>
      <c r="AG15" s="491"/>
      <c r="AH15" s="498"/>
    </row>
    <row r="16" spans="1:34" ht="21.75" customHeight="1">
      <c r="A16" s="456">
        <v>4</v>
      </c>
      <c r="B16" s="469" t="s">
        <v>297</v>
      </c>
      <c r="C16" s="446">
        <f t="shared" si="3"/>
        <v>378614</v>
      </c>
      <c r="D16" s="446">
        <v>35396</v>
      </c>
      <c r="E16" s="446">
        <v>2000</v>
      </c>
      <c r="F16" s="446"/>
      <c r="G16" s="446">
        <v>295472</v>
      </c>
      <c r="H16" s="446">
        <v>159980</v>
      </c>
      <c r="I16" s="446">
        <v>150</v>
      </c>
      <c r="J16" s="446">
        <v>6599</v>
      </c>
      <c r="K16" s="446">
        <f t="shared" si="4"/>
        <v>41147</v>
      </c>
      <c r="L16" s="446">
        <f>'Bieu 61'!D46</f>
        <v>29692</v>
      </c>
      <c r="M16" s="446">
        <f>'Bieu 61'!E46</f>
        <v>11455</v>
      </c>
      <c r="N16" s="446"/>
      <c r="O16" s="446"/>
      <c r="P16" s="446">
        <f t="shared" si="9"/>
        <v>471999.71319499996</v>
      </c>
      <c r="Q16" s="446">
        <v>55403.385373000005</v>
      </c>
      <c r="R16" s="446">
        <v>5592.9651869999998</v>
      </c>
      <c r="S16" s="446"/>
      <c r="T16" s="446">
        <v>299788.311116</v>
      </c>
      <c r="U16" s="446">
        <v>160582.84443899998</v>
      </c>
      <c r="V16" s="446">
        <v>129.9</v>
      </c>
      <c r="W16" s="446">
        <f t="shared" si="5"/>
        <v>17769.466240000002</v>
      </c>
      <c r="X16" s="446">
        <f>'Bieu 61'!AB46</f>
        <v>15090.986220000001</v>
      </c>
      <c r="Y16" s="446">
        <f>'Bieu 61'!AC46</f>
        <v>2678.4800200000004</v>
      </c>
      <c r="Z16" s="446">
        <v>93618.593557999993</v>
      </c>
      <c r="AA16" s="446">
        <v>5419.9569080000001</v>
      </c>
      <c r="AB16" s="175">
        <f t="shared" si="6"/>
        <v>1.2466515057419958</v>
      </c>
      <c r="AC16" s="175">
        <f t="shared" si="6"/>
        <v>1.5652442471748222</v>
      </c>
      <c r="AD16" s="175">
        <f t="shared" si="7"/>
        <v>1.014608190001083</v>
      </c>
      <c r="AE16" s="175">
        <f t="shared" si="8"/>
        <v>0.43185326366442273</v>
      </c>
      <c r="AF16" s="491"/>
      <c r="AG16" s="491"/>
      <c r="AH16" s="498"/>
    </row>
    <row r="17" spans="1:34" ht="21.75" customHeight="1">
      <c r="A17" s="456">
        <v>5</v>
      </c>
      <c r="B17" s="469" t="s">
        <v>298</v>
      </c>
      <c r="C17" s="446">
        <f t="shared" si="3"/>
        <v>484695</v>
      </c>
      <c r="D17" s="446">
        <v>23949</v>
      </c>
      <c r="E17" s="446">
        <v>5550</v>
      </c>
      <c r="F17" s="446"/>
      <c r="G17" s="446">
        <v>366695</v>
      </c>
      <c r="H17" s="446">
        <v>210320</v>
      </c>
      <c r="I17" s="446">
        <v>150</v>
      </c>
      <c r="J17" s="446">
        <v>7786</v>
      </c>
      <c r="K17" s="446">
        <f t="shared" si="4"/>
        <v>86265</v>
      </c>
      <c r="L17" s="446">
        <f>'Bieu 61'!D48</f>
        <v>64944</v>
      </c>
      <c r="M17" s="446">
        <f>'Bieu 61'!E48</f>
        <v>21321</v>
      </c>
      <c r="N17" s="446"/>
      <c r="O17" s="446"/>
      <c r="P17" s="446">
        <f t="shared" si="9"/>
        <v>600045.07984400005</v>
      </c>
      <c r="Q17" s="446">
        <f>59237.384928-X17</f>
        <v>39230.252860000001</v>
      </c>
      <c r="R17" s="446">
        <v>12043.220499999999</v>
      </c>
      <c r="S17" s="446"/>
      <c r="T17" s="446">
        <f>378701.019558-Y17</f>
        <v>374757.67197700002</v>
      </c>
      <c r="U17" s="446">
        <v>210868.120616</v>
      </c>
      <c r="V17" s="446">
        <v>149.96250000000001</v>
      </c>
      <c r="W17" s="446">
        <f t="shared" si="5"/>
        <v>23950.479649000001</v>
      </c>
      <c r="X17" s="170">
        <f>'Bieu 61'!AB48</f>
        <v>20007.132067999999</v>
      </c>
      <c r="Y17" s="170">
        <f>'Bieu 61'!AC48</f>
        <v>3943.347581</v>
      </c>
      <c r="Z17" s="446">
        <v>134436.32114399999</v>
      </c>
      <c r="AA17" s="446">
        <v>27670.354213999999</v>
      </c>
      <c r="AB17" s="175">
        <f t="shared" si="6"/>
        <v>1.2379848767658013</v>
      </c>
      <c r="AC17" s="175">
        <f t="shared" si="6"/>
        <v>1.6380747780700655</v>
      </c>
      <c r="AD17" s="175">
        <f t="shared" si="7"/>
        <v>1.0219874063649628</v>
      </c>
      <c r="AE17" s="175">
        <f t="shared" si="8"/>
        <v>0.27763843562279023</v>
      </c>
      <c r="AF17" s="491"/>
      <c r="AG17" s="491"/>
      <c r="AH17" s="498"/>
    </row>
    <row r="18" spans="1:34" ht="21.75" customHeight="1">
      <c r="A18" s="456">
        <v>6</v>
      </c>
      <c r="B18" s="469" t="s">
        <v>299</v>
      </c>
      <c r="C18" s="446">
        <f t="shared" si="3"/>
        <v>423908</v>
      </c>
      <c r="D18" s="446">
        <v>25819</v>
      </c>
      <c r="E18" s="446">
        <v>5702</v>
      </c>
      <c r="F18" s="446"/>
      <c r="G18" s="446">
        <v>328343</v>
      </c>
      <c r="H18" s="446">
        <v>196950</v>
      </c>
      <c r="I18" s="446">
        <v>150</v>
      </c>
      <c r="J18" s="446">
        <v>7063</v>
      </c>
      <c r="K18" s="446">
        <f t="shared" si="4"/>
        <v>62683</v>
      </c>
      <c r="L18" s="446">
        <f>'Bieu 61'!D49</f>
        <v>41722</v>
      </c>
      <c r="M18" s="446">
        <f>'Bieu 61'!E49</f>
        <v>20961</v>
      </c>
      <c r="N18" s="446"/>
      <c r="O18" s="446"/>
      <c r="P18" s="446">
        <f t="shared" si="9"/>
        <v>573346.75050600001</v>
      </c>
      <c r="Q18" s="177">
        <v>50376.588336000001</v>
      </c>
      <c r="R18" s="177">
        <v>10271.495999999999</v>
      </c>
      <c r="S18" s="177">
        <v>0</v>
      </c>
      <c r="T18" s="178">
        <v>336333.90715599997</v>
      </c>
      <c r="U18" s="177">
        <v>196150.11197699999</v>
      </c>
      <c r="V18" s="177">
        <v>149.93629999999999</v>
      </c>
      <c r="W18" s="446">
        <f t="shared" si="5"/>
        <v>13927.871707</v>
      </c>
      <c r="X18" s="170">
        <f>'Bieu 61'!AB49</f>
        <v>10536.479261</v>
      </c>
      <c r="Y18" s="170">
        <f>'Bieu 61'!AC49</f>
        <v>3391.3924459999998</v>
      </c>
      <c r="Z18" s="177">
        <v>148104.898307</v>
      </c>
      <c r="AA18" s="177">
        <v>24603.485000000001</v>
      </c>
      <c r="AB18" s="175">
        <f t="shared" si="6"/>
        <v>1.3525263748407674</v>
      </c>
      <c r="AC18" s="175">
        <f t="shared" si="6"/>
        <v>1.9511440542236338</v>
      </c>
      <c r="AD18" s="175">
        <f t="shared" si="7"/>
        <v>1.0243370717694604</v>
      </c>
      <c r="AE18" s="175">
        <f t="shared" si="8"/>
        <v>0.2221953592999697</v>
      </c>
      <c r="AF18" s="491"/>
      <c r="AG18" s="491"/>
      <c r="AH18" s="498"/>
    </row>
    <row r="19" spans="1:34" ht="21.75" customHeight="1">
      <c r="A19" s="456">
        <v>7</v>
      </c>
      <c r="B19" s="469" t="s">
        <v>300</v>
      </c>
      <c r="C19" s="446">
        <f t="shared" si="3"/>
        <v>233175</v>
      </c>
      <c r="D19" s="446">
        <v>18062</v>
      </c>
      <c r="E19" s="446">
        <v>6109</v>
      </c>
      <c r="F19" s="446"/>
      <c r="G19" s="446">
        <v>104273</v>
      </c>
      <c r="H19" s="446">
        <v>41409</v>
      </c>
      <c r="I19" s="446">
        <v>150</v>
      </c>
      <c r="J19" s="446">
        <v>2335</v>
      </c>
      <c r="K19" s="446">
        <f t="shared" si="4"/>
        <v>108505</v>
      </c>
      <c r="L19" s="446">
        <f>'Bieu 61'!D52</f>
        <v>94426</v>
      </c>
      <c r="M19" s="446">
        <f>'Bieu 61'!E52</f>
        <v>14079</v>
      </c>
      <c r="N19" s="446"/>
      <c r="O19" s="446"/>
      <c r="P19" s="446">
        <f t="shared" si="9"/>
        <v>357387.83793699997</v>
      </c>
      <c r="Q19" s="179">
        <v>54299.024971999999</v>
      </c>
      <c r="R19" s="179">
        <v>28759.148924000001</v>
      </c>
      <c r="S19" s="179"/>
      <c r="T19" s="170">
        <v>104749.670547</v>
      </c>
      <c r="U19" s="179">
        <v>42621.084999999999</v>
      </c>
      <c r="V19" s="179">
        <v>116.93600000000001</v>
      </c>
      <c r="W19" s="446">
        <f t="shared" si="5"/>
        <v>30085.290723999999</v>
      </c>
      <c r="X19" s="170">
        <f>'Bieu 61'!AB52</f>
        <v>28256.2948</v>
      </c>
      <c r="Y19" s="170">
        <f>'Bieu 61'!AC52</f>
        <v>1828.9959239999998</v>
      </c>
      <c r="Z19" s="180">
        <v>154406.958575</v>
      </c>
      <c r="AA19" s="180">
        <v>13846.893119</v>
      </c>
      <c r="AB19" s="175">
        <f t="shared" si="6"/>
        <v>1.5327022105157069</v>
      </c>
      <c r="AC19" s="175">
        <f t="shared" si="6"/>
        <v>3.0062576111172628</v>
      </c>
      <c r="AD19" s="175">
        <f t="shared" si="7"/>
        <v>1.0045713707958916</v>
      </c>
      <c r="AE19" s="175">
        <f t="shared" si="8"/>
        <v>0.27727100800884752</v>
      </c>
      <c r="AF19" s="491"/>
      <c r="AG19" s="491"/>
      <c r="AH19" s="498"/>
    </row>
    <row r="20" spans="1:34" ht="21.75" customHeight="1">
      <c r="A20" s="456">
        <v>8</v>
      </c>
      <c r="B20" s="469" t="s">
        <v>276</v>
      </c>
      <c r="C20" s="446">
        <f t="shared" si="3"/>
        <v>298605</v>
      </c>
      <c r="D20" s="446">
        <v>14931</v>
      </c>
      <c r="E20" s="446">
        <v>2830</v>
      </c>
      <c r="F20" s="446"/>
      <c r="G20" s="446">
        <v>228373</v>
      </c>
      <c r="H20" s="446">
        <v>132479</v>
      </c>
      <c r="I20" s="446">
        <v>150</v>
      </c>
      <c r="J20" s="446">
        <v>4769</v>
      </c>
      <c r="K20" s="446">
        <f t="shared" si="4"/>
        <v>50532</v>
      </c>
      <c r="L20" s="446">
        <f>'Bieu 61'!D50</f>
        <v>35650</v>
      </c>
      <c r="M20" s="446">
        <f>'Bieu 61'!E50</f>
        <v>14882</v>
      </c>
      <c r="N20" s="446"/>
      <c r="O20" s="446"/>
      <c r="P20" s="446">
        <f t="shared" si="9"/>
        <v>382048.14115099999</v>
      </c>
      <c r="Q20" s="446">
        <f>29368+1</f>
        <v>29369</v>
      </c>
      <c r="R20" s="446">
        <v>7069</v>
      </c>
      <c r="S20" s="492"/>
      <c r="T20" s="446">
        <v>236761</v>
      </c>
      <c r="U20" s="446">
        <v>137116</v>
      </c>
      <c r="V20" s="491">
        <v>135</v>
      </c>
      <c r="W20" s="446">
        <f t="shared" si="5"/>
        <v>29146.141151</v>
      </c>
      <c r="X20" s="170">
        <f>'Bieu 61'!AB50</f>
        <v>27026.669239999999</v>
      </c>
      <c r="Y20" s="170">
        <f>'Bieu 61'!AC50</f>
        <v>2119.4719110000001</v>
      </c>
      <c r="Z20" s="446">
        <v>76862</v>
      </c>
      <c r="AA20" s="446">
        <v>9910</v>
      </c>
      <c r="AB20" s="175">
        <f t="shared" si="6"/>
        <v>1.2794432147854189</v>
      </c>
      <c r="AC20" s="175">
        <f t="shared" si="6"/>
        <v>1.9669814479941061</v>
      </c>
      <c r="AD20" s="175">
        <f t="shared" si="7"/>
        <v>1.0367293856979591</v>
      </c>
      <c r="AE20" s="175">
        <f t="shared" si="8"/>
        <v>0.57678582187524741</v>
      </c>
      <c r="AF20" s="491"/>
      <c r="AG20" s="491"/>
      <c r="AH20" s="498"/>
    </row>
    <row r="21" spans="1:34" ht="21.75" customHeight="1">
      <c r="A21" s="456">
        <v>9</v>
      </c>
      <c r="B21" s="469" t="s">
        <v>301</v>
      </c>
      <c r="C21" s="446">
        <f t="shared" si="3"/>
        <v>520848</v>
      </c>
      <c r="D21" s="446">
        <v>110635</v>
      </c>
      <c r="E21" s="446">
        <v>5300</v>
      </c>
      <c r="F21" s="446"/>
      <c r="G21" s="446">
        <v>279996</v>
      </c>
      <c r="H21" s="446">
        <v>155662</v>
      </c>
      <c r="I21" s="446">
        <v>150</v>
      </c>
      <c r="J21" s="446">
        <v>7295</v>
      </c>
      <c r="K21" s="446">
        <f t="shared" si="4"/>
        <v>122922</v>
      </c>
      <c r="L21" s="446">
        <f>'Bieu 61'!D51</f>
        <v>104833</v>
      </c>
      <c r="M21" s="446">
        <f>'Bieu 61'!E51</f>
        <v>18089</v>
      </c>
      <c r="N21" s="446"/>
      <c r="O21" s="446"/>
      <c r="P21" s="446">
        <f>Q21+T21+W21+Z21+AA21</f>
        <v>857945.20126099989</v>
      </c>
      <c r="Q21" s="170">
        <v>87535.219016000003</v>
      </c>
      <c r="R21" s="170">
        <v>4137.2539999999999</v>
      </c>
      <c r="S21" s="170"/>
      <c r="T21" s="170">
        <v>293310.49719199998</v>
      </c>
      <c r="U21" s="170">
        <v>155858.73976500001</v>
      </c>
      <c r="V21" s="170">
        <v>130</v>
      </c>
      <c r="W21" s="446">
        <f t="shared" si="5"/>
        <v>10806.253049999999</v>
      </c>
      <c r="X21" s="170">
        <f>'Bieu 61'!AB51</f>
        <v>2529.8260000000005</v>
      </c>
      <c r="Y21" s="170">
        <f>'Bieu 61'!AC51</f>
        <v>8276.4270499999984</v>
      </c>
      <c r="Z21" s="170">
        <v>458018.48125299998</v>
      </c>
      <c r="AA21" s="170">
        <v>8274.7507499999992</v>
      </c>
      <c r="AB21" s="175">
        <f t="shared" si="6"/>
        <v>1.6472084010325467</v>
      </c>
      <c r="AC21" s="175">
        <f t="shared" si="6"/>
        <v>0.79120729440050619</v>
      </c>
      <c r="AD21" s="175">
        <f t="shared" si="7"/>
        <v>1.0475524550065001</v>
      </c>
      <c r="AE21" s="175">
        <f t="shared" si="8"/>
        <v>8.7911464587299259E-2</v>
      </c>
      <c r="AF21" s="491"/>
      <c r="AG21" s="491"/>
      <c r="AH21" s="498"/>
    </row>
    <row r="22" spans="1:34" ht="21.75" customHeight="1">
      <c r="A22" s="499">
        <v>10</v>
      </c>
      <c r="B22" s="500" t="s">
        <v>302</v>
      </c>
      <c r="C22" s="493">
        <f>D22+G22+J22+K22+N22+O22</f>
        <v>470430</v>
      </c>
      <c r="D22" s="493">
        <v>12736</v>
      </c>
      <c r="E22" s="493">
        <v>3072</v>
      </c>
      <c r="F22" s="493"/>
      <c r="G22" s="493">
        <v>288330</v>
      </c>
      <c r="H22" s="493">
        <v>171568</v>
      </c>
      <c r="I22" s="493">
        <v>150</v>
      </c>
      <c r="J22" s="493">
        <v>6018</v>
      </c>
      <c r="K22" s="493">
        <f t="shared" si="4"/>
        <v>163346</v>
      </c>
      <c r="L22" s="493">
        <f>'Bieu 61'!D47</f>
        <v>138921</v>
      </c>
      <c r="M22" s="493">
        <f>'Bieu 61'!E47</f>
        <v>24425</v>
      </c>
      <c r="N22" s="493"/>
      <c r="O22" s="493"/>
      <c r="P22" s="501">
        <f t="shared" si="9"/>
        <v>540020.48761399998</v>
      </c>
      <c r="Q22" s="501">
        <v>15746.590311</v>
      </c>
      <c r="R22" s="501">
        <v>4180.6251169999996</v>
      </c>
      <c r="S22" s="494"/>
      <c r="T22" s="210">
        <v>309737.74418099999</v>
      </c>
      <c r="U22" s="502">
        <v>177770.00200099999</v>
      </c>
      <c r="V22" s="503">
        <v>279.12968000000001</v>
      </c>
      <c r="W22" s="493">
        <f t="shared" si="5"/>
        <v>78973.558492000011</v>
      </c>
      <c r="X22" s="210">
        <f>'Bieu 61'!AB47</f>
        <v>66926.821262000012</v>
      </c>
      <c r="Y22" s="210">
        <f>'Bieu 61'!AC47</f>
        <v>12046.737230000001</v>
      </c>
      <c r="Z22" s="502">
        <v>134562.70705299999</v>
      </c>
      <c r="AA22" s="502">
        <v>999.88757699999996</v>
      </c>
      <c r="AB22" s="211">
        <f>P22/C22</f>
        <v>1.1479295274833663</v>
      </c>
      <c r="AC22" s="211">
        <f>Q22/D22</f>
        <v>1.2363842894943466</v>
      </c>
      <c r="AD22" s="211">
        <f>T22/G22</f>
        <v>1.0742473699615025</v>
      </c>
      <c r="AE22" s="211">
        <f t="shared" si="8"/>
        <v>0.48347408869516251</v>
      </c>
      <c r="AF22" s="494"/>
      <c r="AG22" s="494"/>
      <c r="AH22" s="498"/>
    </row>
    <row r="23" spans="1:34" ht="17.25" customHeight="1">
      <c r="A23" s="504" t="s">
        <v>862</v>
      </c>
      <c r="P23" s="379"/>
      <c r="Q23" s="379"/>
      <c r="R23" s="379"/>
      <c r="S23" s="379"/>
      <c r="T23" s="379"/>
      <c r="U23" s="379"/>
      <c r="V23" s="379"/>
      <c r="W23" s="379"/>
      <c r="X23" s="379"/>
      <c r="Y23" s="379"/>
      <c r="Z23" s="379"/>
      <c r="AA23" s="379"/>
    </row>
    <row r="24" spans="1:34" ht="16.5" customHeight="1">
      <c r="A24" s="505" t="s">
        <v>162</v>
      </c>
      <c r="P24" s="379"/>
      <c r="Q24" s="379"/>
      <c r="R24" s="379"/>
      <c r="S24" s="379"/>
      <c r="T24" s="379"/>
      <c r="U24" s="379"/>
      <c r="V24" s="379"/>
      <c r="W24" s="379"/>
      <c r="X24" s="379"/>
      <c r="Y24" s="379"/>
      <c r="Z24" s="379"/>
      <c r="AA24" s="379"/>
    </row>
    <row r="25" spans="1:34" ht="20.25" customHeight="1">
      <c r="A25" s="505" t="s">
        <v>163</v>
      </c>
      <c r="T25" s="379"/>
      <c r="U25" s="379"/>
      <c r="V25" s="379"/>
      <c r="W25" s="379"/>
    </row>
  </sheetData>
  <mergeCells count="40">
    <mergeCell ref="O8:O10"/>
    <mergeCell ref="A2:AG2"/>
    <mergeCell ref="A3:AG3"/>
    <mergeCell ref="C7:O7"/>
    <mergeCell ref="AA8:AA10"/>
    <mergeCell ref="P7:AA7"/>
    <mergeCell ref="AC8:AC10"/>
    <mergeCell ref="AD8:AD10"/>
    <mergeCell ref="T9:T10"/>
    <mergeCell ref="U9:V9"/>
    <mergeCell ref="P8:P10"/>
    <mergeCell ref="D9:D10"/>
    <mergeCell ref="E9:F9"/>
    <mergeCell ref="G9:G10"/>
    <mergeCell ref="H9:I9"/>
    <mergeCell ref="Q8:S8"/>
    <mergeCell ref="AG8:AG10"/>
    <mergeCell ref="AB7:AG7"/>
    <mergeCell ref="AF8:AF10"/>
    <mergeCell ref="R9:S9"/>
    <mergeCell ref="W9:W10"/>
    <mergeCell ref="X9:Y9"/>
    <mergeCell ref="AB8:AB10"/>
    <mergeCell ref="T8:V8"/>
    <mergeCell ref="AE1:AF1"/>
    <mergeCell ref="AC6:AF6"/>
    <mergeCell ref="A7:A10"/>
    <mergeCell ref="B7:B10"/>
    <mergeCell ref="C8:C10"/>
    <mergeCell ref="D8:F8"/>
    <mergeCell ref="G8:I8"/>
    <mergeCell ref="J8:J10"/>
    <mergeCell ref="K8:M8"/>
    <mergeCell ref="N8:N10"/>
    <mergeCell ref="AE8:AE10"/>
    <mergeCell ref="W8:Y8"/>
    <mergeCell ref="K9:K10"/>
    <mergeCell ref="Z8:Z10"/>
    <mergeCell ref="Q9:Q10"/>
    <mergeCell ref="L9:M9"/>
  </mergeCells>
  <dataValidations count="1">
    <dataValidation allowBlank="1" showInputMessage="1" showErrorMessage="1" prompt="Bao gồm chi từ nguồn giao tăng thu tiền sử dụng đất, tiền thuê đất so với dự toán trung ướng giao: 169.736 triệu đồng" sqref="D13"/>
  </dataValidations>
  <pageMargins left="0.70866141732283472" right="0.70866141732283472" top="0.74803149606299213" bottom="0.74803149606299213" header="0.31496062992125984" footer="0.31496062992125984"/>
  <pageSetup paperSize="9"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opLeftCell="B4" zoomScaleNormal="100" workbookViewId="0">
      <pane xSplit="1" ySplit="6" topLeftCell="C10" activePane="bottomRight" state="frozen"/>
      <selection activeCell="B4" sqref="B4"/>
      <selection pane="topRight" activeCell="C4" sqref="C4"/>
      <selection pane="bottomLeft" activeCell="B10" sqref="B10"/>
      <selection pane="bottomRight" activeCell="H10" sqref="H10"/>
    </sheetView>
  </sheetViews>
  <sheetFormatPr defaultColWidth="9.140625" defaultRowHeight="15" outlineLevelCol="1"/>
  <cols>
    <col min="1" max="1" width="4" style="45" customWidth="1"/>
    <col min="2" max="2" width="18.140625" style="45" customWidth="1"/>
    <col min="3" max="3" width="9.140625" style="45"/>
    <col min="4" max="4" width="9.140625" style="45" customWidth="1" outlineLevel="1"/>
    <col min="5" max="5" width="8" style="45" customWidth="1" outlineLevel="1"/>
    <col min="6" max="6" width="8.42578125" style="45" customWidth="1" outlineLevel="1"/>
    <col min="7" max="7" width="8.28515625" style="45" customWidth="1" outlineLevel="1"/>
    <col min="8" max="8" width="8.7109375" style="45" customWidth="1" outlineLevel="1"/>
    <col min="9" max="9" width="8.85546875" style="45" customWidth="1" outlineLevel="1"/>
    <col min="10" max="10" width="9.140625" style="45" customWidth="1" outlineLevel="1"/>
    <col min="11" max="11" width="9.140625" style="45"/>
    <col min="12" max="12" width="10.85546875" style="45" customWidth="1" outlineLevel="1"/>
    <col min="13" max="13" width="9.140625" style="45" customWidth="1" outlineLevel="1"/>
    <col min="14" max="14" width="8.85546875" style="45" customWidth="1" outlineLevel="1"/>
    <col min="15" max="15" width="10.85546875" style="45" customWidth="1" outlineLevel="1"/>
    <col min="16" max="16" width="11.85546875" style="45" customWidth="1" outlineLevel="1"/>
    <col min="17" max="18" width="9.140625" style="45" customWidth="1" outlineLevel="1"/>
    <col min="19" max="19" width="7.85546875" style="45" customWidth="1"/>
    <col min="20" max="20" width="7" style="45" customWidth="1" outlineLevel="1"/>
    <col min="21" max="23" width="7.140625" style="45" customWidth="1" outlineLevel="1"/>
    <col min="24" max="24" width="8.28515625" style="45" customWidth="1" outlineLevel="1"/>
    <col min="25" max="25" width="8.5703125" style="45" customWidth="1" outlineLevel="1"/>
    <col min="26" max="26" width="7.28515625" style="45" customWidth="1" outlineLevel="1"/>
    <col min="27" max="27" width="21.28515625" style="45" customWidth="1"/>
    <col min="28" max="28" width="19.5703125" style="45" customWidth="1"/>
    <col min="29" max="16384" width="9.140625" style="45"/>
  </cols>
  <sheetData>
    <row r="1" spans="1:29">
      <c r="B1" s="643" t="s">
        <v>350</v>
      </c>
      <c r="C1" s="643"/>
      <c r="D1" s="643"/>
    </row>
    <row r="2" spans="1:29">
      <c r="A2" s="644" t="s">
        <v>648</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137"/>
    </row>
    <row r="3" spans="1:29">
      <c r="A3" s="645" t="s">
        <v>641</v>
      </c>
      <c r="B3" s="645"/>
      <c r="C3" s="645"/>
      <c r="D3" s="645"/>
      <c r="E3" s="645"/>
      <c r="F3" s="645"/>
      <c r="G3" s="645"/>
      <c r="H3" s="645"/>
      <c r="I3" s="645"/>
      <c r="J3" s="645"/>
      <c r="K3" s="645"/>
      <c r="L3" s="645"/>
      <c r="M3" s="645"/>
      <c r="N3" s="645"/>
      <c r="O3" s="645"/>
      <c r="P3" s="645"/>
      <c r="Q3" s="645"/>
      <c r="R3" s="645"/>
      <c r="S3" s="645"/>
      <c r="T3" s="645"/>
      <c r="U3" s="645"/>
      <c r="V3" s="645"/>
      <c r="W3" s="645"/>
      <c r="X3" s="645"/>
      <c r="Y3" s="645"/>
      <c r="Z3" s="645"/>
    </row>
    <row r="4" spans="1:29">
      <c r="B4" s="47"/>
      <c r="P4" s="48"/>
      <c r="X4" s="646" t="s">
        <v>470</v>
      </c>
      <c r="Y4" s="646"/>
      <c r="Z4" s="646"/>
    </row>
    <row r="5" spans="1:29">
      <c r="A5" s="647" t="s">
        <v>16</v>
      </c>
      <c r="B5" s="647" t="s">
        <v>474</v>
      </c>
      <c r="C5" s="647" t="s">
        <v>18</v>
      </c>
      <c r="D5" s="647"/>
      <c r="E5" s="647"/>
      <c r="F5" s="647"/>
      <c r="G5" s="647"/>
      <c r="H5" s="647"/>
      <c r="I5" s="647"/>
      <c r="J5" s="647"/>
      <c r="K5" s="647" t="s">
        <v>19</v>
      </c>
      <c r="L5" s="647"/>
      <c r="M5" s="647"/>
      <c r="N5" s="647"/>
      <c r="O5" s="647"/>
      <c r="P5" s="647"/>
      <c r="Q5" s="647"/>
      <c r="R5" s="647"/>
      <c r="S5" s="647" t="s">
        <v>164</v>
      </c>
      <c r="T5" s="647"/>
      <c r="U5" s="647"/>
      <c r="V5" s="647"/>
      <c r="W5" s="647"/>
      <c r="X5" s="647"/>
      <c r="Y5" s="647"/>
      <c r="Z5" s="647"/>
    </row>
    <row r="6" spans="1:29">
      <c r="A6" s="647"/>
      <c r="B6" s="647"/>
      <c r="C6" s="647" t="s">
        <v>153</v>
      </c>
      <c r="D6" s="647" t="s">
        <v>165</v>
      </c>
      <c r="E6" s="647" t="s">
        <v>166</v>
      </c>
      <c r="F6" s="647"/>
      <c r="G6" s="647"/>
      <c r="H6" s="647"/>
      <c r="I6" s="647"/>
      <c r="J6" s="647"/>
      <c r="K6" s="647" t="s">
        <v>153</v>
      </c>
      <c r="L6" s="647" t="s">
        <v>165</v>
      </c>
      <c r="M6" s="647" t="s">
        <v>166</v>
      </c>
      <c r="N6" s="647"/>
      <c r="O6" s="647"/>
      <c r="P6" s="647"/>
      <c r="Q6" s="647"/>
      <c r="R6" s="647"/>
      <c r="S6" s="647" t="s">
        <v>153</v>
      </c>
      <c r="T6" s="647" t="s">
        <v>165</v>
      </c>
      <c r="U6" s="647" t="s">
        <v>166</v>
      </c>
      <c r="V6" s="647"/>
      <c r="W6" s="647"/>
      <c r="X6" s="647"/>
      <c r="Y6" s="647"/>
      <c r="Z6" s="647"/>
    </row>
    <row r="7" spans="1:29" ht="24" customHeight="1">
      <c r="A7" s="647"/>
      <c r="B7" s="647"/>
      <c r="C7" s="647"/>
      <c r="D7" s="647"/>
      <c r="E7" s="647" t="s">
        <v>153</v>
      </c>
      <c r="F7" s="647" t="s">
        <v>167</v>
      </c>
      <c r="G7" s="647"/>
      <c r="H7" s="647" t="s">
        <v>168</v>
      </c>
      <c r="I7" s="647" t="s">
        <v>169</v>
      </c>
      <c r="J7" s="647" t="s">
        <v>170</v>
      </c>
      <c r="K7" s="647"/>
      <c r="L7" s="647"/>
      <c r="M7" s="647" t="s">
        <v>153</v>
      </c>
      <c r="N7" s="647" t="s">
        <v>167</v>
      </c>
      <c r="O7" s="647"/>
      <c r="P7" s="648" t="s">
        <v>168</v>
      </c>
      <c r="Q7" s="647" t="s">
        <v>169</v>
      </c>
      <c r="R7" s="647" t="s">
        <v>170</v>
      </c>
      <c r="S7" s="647"/>
      <c r="T7" s="647"/>
      <c r="U7" s="647" t="s">
        <v>153</v>
      </c>
      <c r="V7" s="647" t="s">
        <v>167</v>
      </c>
      <c r="W7" s="647"/>
      <c r="X7" s="647" t="s">
        <v>168</v>
      </c>
      <c r="Y7" s="647" t="s">
        <v>169</v>
      </c>
      <c r="Z7" s="647" t="s">
        <v>170</v>
      </c>
    </row>
    <row r="8" spans="1:29" ht="24.75">
      <c r="A8" s="647"/>
      <c r="B8" s="647"/>
      <c r="C8" s="647"/>
      <c r="D8" s="647"/>
      <c r="E8" s="647"/>
      <c r="F8" s="138" t="s">
        <v>171</v>
      </c>
      <c r="G8" s="138" t="s">
        <v>172</v>
      </c>
      <c r="H8" s="647"/>
      <c r="I8" s="647"/>
      <c r="J8" s="647"/>
      <c r="K8" s="647"/>
      <c r="L8" s="647"/>
      <c r="M8" s="647"/>
      <c r="N8" s="138" t="s">
        <v>171</v>
      </c>
      <c r="O8" s="138" t="s">
        <v>172</v>
      </c>
      <c r="P8" s="649"/>
      <c r="Q8" s="647"/>
      <c r="R8" s="647"/>
      <c r="S8" s="647"/>
      <c r="T8" s="647"/>
      <c r="U8" s="647"/>
      <c r="V8" s="138" t="s">
        <v>171</v>
      </c>
      <c r="W8" s="138" t="s">
        <v>172</v>
      </c>
      <c r="X8" s="647"/>
      <c r="Y8" s="647"/>
      <c r="Z8" s="647"/>
    </row>
    <row r="9" spans="1:29">
      <c r="A9" s="138" t="s">
        <v>23</v>
      </c>
      <c r="B9" s="138" t="s">
        <v>24</v>
      </c>
      <c r="C9" s="138" t="s">
        <v>147</v>
      </c>
      <c r="D9" s="138">
        <v>2</v>
      </c>
      <c r="E9" s="138" t="s">
        <v>173</v>
      </c>
      <c r="F9" s="138">
        <v>4</v>
      </c>
      <c r="G9" s="138">
        <v>5</v>
      </c>
      <c r="H9" s="138">
        <v>6</v>
      </c>
      <c r="I9" s="138">
        <v>7</v>
      </c>
      <c r="J9" s="138">
        <v>8</v>
      </c>
      <c r="K9" s="138">
        <v>9</v>
      </c>
      <c r="L9" s="138">
        <v>10</v>
      </c>
      <c r="M9" s="138" t="s">
        <v>174</v>
      </c>
      <c r="N9" s="138">
        <v>12</v>
      </c>
      <c r="O9" s="138">
        <v>13</v>
      </c>
      <c r="P9" s="138">
        <v>14</v>
      </c>
      <c r="Q9" s="138">
        <v>15</v>
      </c>
      <c r="R9" s="138">
        <v>16</v>
      </c>
      <c r="S9" s="138" t="s">
        <v>175</v>
      </c>
      <c r="T9" s="138" t="s">
        <v>176</v>
      </c>
      <c r="U9" s="138" t="s">
        <v>177</v>
      </c>
      <c r="V9" s="138" t="s">
        <v>178</v>
      </c>
      <c r="W9" s="138" t="s">
        <v>179</v>
      </c>
      <c r="X9" s="138" t="s">
        <v>180</v>
      </c>
      <c r="Y9" s="138" t="s">
        <v>181</v>
      </c>
      <c r="Z9" s="138" t="s">
        <v>182</v>
      </c>
    </row>
    <row r="10" spans="1:29" ht="18" customHeight="1">
      <c r="A10" s="132"/>
      <c r="B10" s="132" t="s">
        <v>155</v>
      </c>
      <c r="C10" s="36">
        <f>D10+E10</f>
        <v>2646825</v>
      </c>
      <c r="D10" s="36">
        <f>SUM(D11:D20)</f>
        <v>2424617</v>
      </c>
      <c r="E10" s="36">
        <f>SUM(E11:E20)</f>
        <v>222208</v>
      </c>
      <c r="F10" s="36">
        <f t="shared" ref="F10:R10" si="0">SUM(F11:F20)</f>
        <v>0</v>
      </c>
      <c r="G10" s="36">
        <f t="shared" si="0"/>
        <v>222208</v>
      </c>
      <c r="H10" s="36">
        <f t="shared" si="0"/>
        <v>205119</v>
      </c>
      <c r="I10" s="36">
        <f t="shared" si="0"/>
        <v>17089</v>
      </c>
      <c r="J10" s="36">
        <f>SUM(J11:J20)</f>
        <v>0</v>
      </c>
      <c r="K10" s="36">
        <f t="shared" si="0"/>
        <v>3552331.3750000005</v>
      </c>
      <c r="L10" s="36">
        <f t="shared" si="0"/>
        <v>2424547.4900000002</v>
      </c>
      <c r="M10" s="36">
        <f>SUM(M11:M20)</f>
        <v>1127783.885</v>
      </c>
      <c r="N10" s="36">
        <f>SUM(N11:N20)</f>
        <v>0</v>
      </c>
      <c r="O10" s="36">
        <f>SUM(O11:O20)</f>
        <v>1127783.885</v>
      </c>
      <c r="P10" s="36">
        <f t="shared" si="0"/>
        <v>282192.61007699999</v>
      </c>
      <c r="Q10" s="36">
        <f t="shared" si="0"/>
        <v>173974.43645099999</v>
      </c>
      <c r="R10" s="36">
        <f t="shared" si="0"/>
        <v>671616.83847199997</v>
      </c>
      <c r="S10" s="139">
        <f t="shared" ref="S10:U20" si="1">K10/C10</f>
        <v>1.3421104058636293</v>
      </c>
      <c r="T10" s="139">
        <f t="shared" si="1"/>
        <v>0.99997133155463325</v>
      </c>
      <c r="U10" s="43">
        <f t="shared" si="1"/>
        <v>5.0753523050475229</v>
      </c>
      <c r="V10" s="43"/>
      <c r="W10" s="43">
        <f>O10/G10</f>
        <v>5.0753523050475229</v>
      </c>
      <c r="X10" s="43">
        <f>P10/H10</f>
        <v>1.3757507109385283</v>
      </c>
      <c r="Y10" s="43">
        <f>Q10/I10</f>
        <v>10.180492506934284</v>
      </c>
      <c r="Z10" s="43"/>
      <c r="AA10" s="366"/>
      <c r="AB10" s="48"/>
    </row>
    <row r="11" spans="1:29" ht="18" customHeight="1">
      <c r="A11" s="212">
        <v>1</v>
      </c>
      <c r="B11" s="213" t="s">
        <v>294</v>
      </c>
      <c r="C11" s="91">
        <f>D11+E11</f>
        <v>382114</v>
      </c>
      <c r="D11" s="91">
        <v>272119</v>
      </c>
      <c r="E11" s="91">
        <f>H11+I11+J11</f>
        <v>109995</v>
      </c>
      <c r="F11" s="91"/>
      <c r="G11" s="91">
        <f>E11</f>
        <v>109995</v>
      </c>
      <c r="H11" s="91">
        <v>102773</v>
      </c>
      <c r="I11" s="91">
        <v>7222</v>
      </c>
      <c r="J11" s="91"/>
      <c r="K11" s="94">
        <f t="shared" ref="K11:K16" si="2">L11+M11</f>
        <v>455958.43</v>
      </c>
      <c r="L11" s="94">
        <f>D11</f>
        <v>272119</v>
      </c>
      <c r="M11" s="94">
        <f>N11+O11</f>
        <v>183839.43</v>
      </c>
      <c r="N11" s="94"/>
      <c r="O11" s="94">
        <f>P11+Q11+R11</f>
        <v>183839.43</v>
      </c>
      <c r="P11" s="94">
        <v>131886</v>
      </c>
      <c r="Q11" s="94">
        <v>23588.43</v>
      </c>
      <c r="R11" s="94">
        <v>28365</v>
      </c>
      <c r="S11" s="140">
        <f t="shared" si="1"/>
        <v>1.1932523540095363</v>
      </c>
      <c r="T11" s="140">
        <f t="shared" si="1"/>
        <v>1</v>
      </c>
      <c r="U11" s="133">
        <f t="shared" si="1"/>
        <v>1.6713435156143461</v>
      </c>
      <c r="V11" s="133"/>
      <c r="W11" s="133">
        <f>O11/G11</f>
        <v>1.6713435156143461</v>
      </c>
      <c r="X11" s="133">
        <f>P11/H11</f>
        <v>1.2832747900713222</v>
      </c>
      <c r="Y11" s="133">
        <f t="shared" ref="Y11:Y19" si="3">Q11/I11</f>
        <v>3.2661908058709499</v>
      </c>
      <c r="Z11" s="133"/>
      <c r="AA11" s="366"/>
      <c r="AB11" s="141"/>
      <c r="AC11" s="48"/>
    </row>
    <row r="12" spans="1:29" ht="18" customHeight="1">
      <c r="A12" s="212">
        <v>2</v>
      </c>
      <c r="B12" s="213" t="s">
        <v>295</v>
      </c>
      <c r="C12" s="91">
        <f t="shared" ref="C12:C20" si="4">D12+E12</f>
        <v>369549</v>
      </c>
      <c r="D12" s="91">
        <v>351974</v>
      </c>
      <c r="E12" s="91">
        <f t="shared" ref="E12:E20" si="5">H12+I12+J12</f>
        <v>17575</v>
      </c>
      <c r="F12" s="91"/>
      <c r="G12" s="91">
        <f t="shared" ref="G12:G20" si="6">E12</f>
        <v>17575</v>
      </c>
      <c r="H12" s="91">
        <v>15802</v>
      </c>
      <c r="I12" s="91">
        <v>1773</v>
      </c>
      <c r="J12" s="91"/>
      <c r="K12" s="91">
        <f t="shared" si="2"/>
        <v>444488.90299999999</v>
      </c>
      <c r="L12" s="94">
        <f>D12</f>
        <v>351974</v>
      </c>
      <c r="M12" s="94">
        <f t="shared" ref="M12:M19" si="7">N12+O12</f>
        <v>92514.902999999991</v>
      </c>
      <c r="N12" s="91"/>
      <c r="O12" s="94">
        <f t="shared" ref="O12:O19" si="8">P12+Q12+R12</f>
        <v>92514.902999999991</v>
      </c>
      <c r="P12" s="91">
        <v>19565</v>
      </c>
      <c r="Q12" s="94">
        <v>14142.903</v>
      </c>
      <c r="R12" s="94">
        <v>58807</v>
      </c>
      <c r="S12" s="140">
        <f t="shared" si="1"/>
        <v>1.2027874598497086</v>
      </c>
      <c r="T12" s="140">
        <f t="shared" si="1"/>
        <v>1</v>
      </c>
      <c r="U12" s="133">
        <f t="shared" si="1"/>
        <v>5.2640058605974387</v>
      </c>
      <c r="V12" s="133"/>
      <c r="W12" s="133">
        <f t="shared" ref="W12:X20" si="9">O12/G12</f>
        <v>5.2640058605974387</v>
      </c>
      <c r="X12" s="133">
        <f t="shared" si="9"/>
        <v>1.2381344133653969</v>
      </c>
      <c r="Y12" s="133">
        <f t="shared" si="3"/>
        <v>7.9768206429780033</v>
      </c>
      <c r="Z12" s="133"/>
      <c r="AA12" s="366"/>
      <c r="AB12" s="48"/>
      <c r="AC12" s="48"/>
    </row>
    <row r="13" spans="1:29" ht="18" customHeight="1">
      <c r="A13" s="212">
        <v>3</v>
      </c>
      <c r="B13" s="213" t="s">
        <v>296</v>
      </c>
      <c r="C13" s="91">
        <f t="shared" si="4"/>
        <v>247832</v>
      </c>
      <c r="D13" s="91">
        <v>234856</v>
      </c>
      <c r="E13" s="91">
        <f t="shared" si="5"/>
        <v>12976</v>
      </c>
      <c r="F13" s="91"/>
      <c r="G13" s="91">
        <f t="shared" si="6"/>
        <v>12976</v>
      </c>
      <c r="H13" s="91">
        <v>12601</v>
      </c>
      <c r="I13" s="91">
        <v>375</v>
      </c>
      <c r="J13" s="91"/>
      <c r="K13" s="91">
        <f t="shared" si="2"/>
        <v>310504.228</v>
      </c>
      <c r="L13" s="94">
        <v>234786.49</v>
      </c>
      <c r="M13" s="94">
        <f t="shared" si="7"/>
        <v>75717.737999999998</v>
      </c>
      <c r="N13" s="91"/>
      <c r="O13" s="94">
        <f t="shared" si="8"/>
        <v>75717.737999999998</v>
      </c>
      <c r="P13" s="91">
        <v>6545.5100769999999</v>
      </c>
      <c r="Q13" s="94">
        <v>38444.576451000001</v>
      </c>
      <c r="R13" s="94">
        <v>30727.651472000001</v>
      </c>
      <c r="S13" s="140">
        <f t="shared" si="1"/>
        <v>1.2528819038703638</v>
      </c>
      <c r="T13" s="140">
        <f t="shared" si="1"/>
        <v>0.99970403140647879</v>
      </c>
      <c r="U13" s="133">
        <f t="shared" si="1"/>
        <v>5.8352140875462393</v>
      </c>
      <c r="V13" s="133"/>
      <c r="W13" s="133">
        <f t="shared" si="9"/>
        <v>5.8352140875462393</v>
      </c>
      <c r="X13" s="133">
        <f t="shared" si="9"/>
        <v>0.51944370105547177</v>
      </c>
      <c r="Y13" s="133">
        <f t="shared" si="3"/>
        <v>102.51887053600001</v>
      </c>
      <c r="Z13" s="133"/>
      <c r="AA13" s="366"/>
      <c r="AB13" s="48"/>
      <c r="AC13" s="48"/>
    </row>
    <row r="14" spans="1:29" ht="18" customHeight="1">
      <c r="A14" s="212">
        <v>4</v>
      </c>
      <c r="B14" s="213" t="s">
        <v>713</v>
      </c>
      <c r="C14" s="91">
        <f t="shared" si="4"/>
        <v>243646</v>
      </c>
      <c r="D14" s="91">
        <v>236122</v>
      </c>
      <c r="E14" s="91">
        <f t="shared" si="5"/>
        <v>7524</v>
      </c>
      <c r="F14" s="91"/>
      <c r="G14" s="91">
        <f t="shared" si="6"/>
        <v>7524</v>
      </c>
      <c r="H14" s="91">
        <v>6000</v>
      </c>
      <c r="I14" s="91">
        <v>1524</v>
      </c>
      <c r="J14" s="91"/>
      <c r="K14" s="91">
        <f t="shared" si="2"/>
        <v>289941.15399999998</v>
      </c>
      <c r="L14" s="94">
        <f t="shared" ref="L14:L20" si="10">D14</f>
        <v>236122</v>
      </c>
      <c r="M14" s="94">
        <f t="shared" si="7"/>
        <v>53819.154000000002</v>
      </c>
      <c r="N14" s="94"/>
      <c r="O14" s="94">
        <f t="shared" si="8"/>
        <v>53819.154000000002</v>
      </c>
      <c r="P14" s="94">
        <v>6438</v>
      </c>
      <c r="Q14" s="94">
        <v>6234.1540000000005</v>
      </c>
      <c r="R14" s="94">
        <v>41147</v>
      </c>
      <c r="S14" s="140">
        <f t="shared" si="1"/>
        <v>1.1900099078170787</v>
      </c>
      <c r="T14" s="140">
        <f t="shared" si="1"/>
        <v>1</v>
      </c>
      <c r="U14" s="133">
        <f t="shared" si="1"/>
        <v>7.1529976076555029</v>
      </c>
      <c r="V14" s="133"/>
      <c r="W14" s="133">
        <f t="shared" si="9"/>
        <v>7.1529976076555029</v>
      </c>
      <c r="X14" s="133">
        <f t="shared" si="9"/>
        <v>1.073</v>
      </c>
      <c r="Y14" s="133">
        <f t="shared" si="3"/>
        <v>4.0906522309711288</v>
      </c>
      <c r="Z14" s="133"/>
      <c r="AA14" s="366"/>
      <c r="AB14" s="48"/>
      <c r="AC14" s="48"/>
    </row>
    <row r="15" spans="1:29" ht="18" customHeight="1">
      <c r="A15" s="212">
        <v>5</v>
      </c>
      <c r="B15" s="213" t="s">
        <v>298</v>
      </c>
      <c r="C15" s="91">
        <f t="shared" si="4"/>
        <v>375554</v>
      </c>
      <c r="D15" s="91">
        <v>366425</v>
      </c>
      <c r="E15" s="91">
        <f t="shared" si="5"/>
        <v>9129</v>
      </c>
      <c r="F15" s="91"/>
      <c r="G15" s="91">
        <f t="shared" si="6"/>
        <v>9129</v>
      </c>
      <c r="H15" s="91">
        <v>7999</v>
      </c>
      <c r="I15" s="91">
        <v>1130</v>
      </c>
      <c r="J15" s="91"/>
      <c r="K15" s="91">
        <f t="shared" si="2"/>
        <v>482507.93799999997</v>
      </c>
      <c r="L15" s="94">
        <f t="shared" si="10"/>
        <v>366425</v>
      </c>
      <c r="M15" s="94">
        <v>116082.93799999999</v>
      </c>
      <c r="N15" s="91"/>
      <c r="O15" s="94">
        <f t="shared" si="8"/>
        <v>116082.93799999999</v>
      </c>
      <c r="P15" s="91">
        <v>77084</v>
      </c>
      <c r="Q15" s="94">
        <v>17677.937999999995</v>
      </c>
      <c r="R15" s="94">
        <v>21321</v>
      </c>
      <c r="S15" s="140">
        <f t="shared" si="1"/>
        <v>1.2847897719102979</v>
      </c>
      <c r="T15" s="140">
        <f t="shared" si="1"/>
        <v>1</v>
      </c>
      <c r="U15" s="133">
        <f t="shared" si="1"/>
        <v>12.715843794501041</v>
      </c>
      <c r="V15" s="133"/>
      <c r="W15" s="133">
        <f t="shared" si="9"/>
        <v>12.715843794501041</v>
      </c>
      <c r="X15" s="133">
        <f t="shared" si="9"/>
        <v>9.6367045880735098</v>
      </c>
      <c r="Y15" s="133">
        <f t="shared" si="3"/>
        <v>15.644192920353978</v>
      </c>
      <c r="Z15" s="133"/>
      <c r="AA15" s="366"/>
      <c r="AB15" s="48"/>
      <c r="AC15" s="48"/>
    </row>
    <row r="16" spans="1:29" ht="18" customHeight="1">
      <c r="A16" s="212">
        <v>6</v>
      </c>
      <c r="B16" s="213" t="s">
        <v>299</v>
      </c>
      <c r="C16" s="91">
        <f t="shared" si="4"/>
        <v>266260</v>
      </c>
      <c r="D16" s="91">
        <v>258162</v>
      </c>
      <c r="E16" s="91">
        <f t="shared" si="5"/>
        <v>8098</v>
      </c>
      <c r="F16" s="91"/>
      <c r="G16" s="91">
        <f t="shared" si="6"/>
        <v>8098</v>
      </c>
      <c r="H16" s="91">
        <v>7427</v>
      </c>
      <c r="I16" s="91">
        <v>671</v>
      </c>
      <c r="J16" s="91"/>
      <c r="K16" s="134">
        <f t="shared" si="2"/>
        <v>342305.51799999998</v>
      </c>
      <c r="L16" s="94">
        <f t="shared" si="10"/>
        <v>258162</v>
      </c>
      <c r="M16" s="94">
        <f t="shared" si="7"/>
        <v>84143.517999999996</v>
      </c>
      <c r="N16" s="134"/>
      <c r="O16" s="94">
        <f t="shared" si="8"/>
        <v>84143.517999999996</v>
      </c>
      <c r="P16" s="134">
        <v>14155</v>
      </c>
      <c r="Q16" s="94">
        <v>7305.518</v>
      </c>
      <c r="R16" s="94">
        <v>62683</v>
      </c>
      <c r="S16" s="140">
        <f t="shared" si="1"/>
        <v>1.285606242019079</v>
      </c>
      <c r="T16" s="140">
        <f t="shared" si="1"/>
        <v>1</v>
      </c>
      <c r="U16" s="133">
        <f t="shared" si="1"/>
        <v>10.390654235613731</v>
      </c>
      <c r="V16" s="133"/>
      <c r="W16" s="133">
        <f t="shared" si="9"/>
        <v>10.390654235613731</v>
      </c>
      <c r="X16" s="133">
        <f t="shared" si="9"/>
        <v>1.9058839369866702</v>
      </c>
      <c r="Y16" s="133">
        <f t="shared" si="3"/>
        <v>10.887508196721312</v>
      </c>
      <c r="Z16" s="133"/>
      <c r="AA16" s="366"/>
      <c r="AB16" s="48"/>
      <c r="AC16" s="48"/>
    </row>
    <row r="17" spans="1:29" ht="18" customHeight="1">
      <c r="A17" s="212">
        <v>7</v>
      </c>
      <c r="B17" s="213" t="s">
        <v>714</v>
      </c>
      <c r="C17" s="91">
        <f t="shared" si="4"/>
        <v>97797</v>
      </c>
      <c r="D17" s="91">
        <v>89890</v>
      </c>
      <c r="E17" s="91">
        <f t="shared" si="5"/>
        <v>7907</v>
      </c>
      <c r="F17" s="91"/>
      <c r="G17" s="91">
        <f t="shared" si="6"/>
        <v>7907</v>
      </c>
      <c r="H17" s="91">
        <v>7736</v>
      </c>
      <c r="I17" s="91">
        <v>171</v>
      </c>
      <c r="J17" s="91"/>
      <c r="K17" s="91">
        <f>+L17+M17</f>
        <v>208338.43799999999</v>
      </c>
      <c r="L17" s="94">
        <f t="shared" si="10"/>
        <v>89890</v>
      </c>
      <c r="M17" s="94">
        <f t="shared" si="7"/>
        <v>118448.43799999999</v>
      </c>
      <c r="N17" s="91"/>
      <c r="O17" s="94">
        <f t="shared" si="8"/>
        <v>118448.43799999999</v>
      </c>
      <c r="P17" s="91">
        <v>7405</v>
      </c>
      <c r="Q17" s="94">
        <v>2538.4380000000001</v>
      </c>
      <c r="R17" s="94">
        <v>108505</v>
      </c>
      <c r="S17" s="140">
        <f t="shared" si="1"/>
        <v>2.1303152243933861</v>
      </c>
      <c r="T17" s="140">
        <f t="shared" si="1"/>
        <v>1</v>
      </c>
      <c r="U17" s="133">
        <f t="shared" si="1"/>
        <v>14.980199570001265</v>
      </c>
      <c r="V17" s="133"/>
      <c r="W17" s="133">
        <f t="shared" si="9"/>
        <v>14.980199570001265</v>
      </c>
      <c r="X17" s="133">
        <f t="shared" si="9"/>
        <v>0.95721302998965874</v>
      </c>
      <c r="Y17" s="133">
        <f t="shared" si="3"/>
        <v>14.844666666666667</v>
      </c>
      <c r="Z17" s="133"/>
      <c r="AA17" s="366"/>
      <c r="AB17" s="48"/>
      <c r="AC17" s="48"/>
    </row>
    <row r="18" spans="1:29" ht="18" customHeight="1">
      <c r="A18" s="212">
        <v>8</v>
      </c>
      <c r="B18" s="213" t="s">
        <v>276</v>
      </c>
      <c r="C18" s="91">
        <f t="shared" si="4"/>
        <v>203450</v>
      </c>
      <c r="D18" s="91">
        <v>193824</v>
      </c>
      <c r="E18" s="91">
        <f t="shared" si="5"/>
        <v>9626</v>
      </c>
      <c r="F18" s="91"/>
      <c r="G18" s="91">
        <f t="shared" si="6"/>
        <v>9626</v>
      </c>
      <c r="H18" s="91">
        <v>8255</v>
      </c>
      <c r="I18" s="91">
        <v>1371</v>
      </c>
      <c r="J18" s="91"/>
      <c r="K18" s="91">
        <f>L18+M18</f>
        <v>261786.48699999999</v>
      </c>
      <c r="L18" s="94">
        <f t="shared" si="10"/>
        <v>193824</v>
      </c>
      <c r="M18" s="94">
        <f t="shared" si="7"/>
        <v>67962.486999999994</v>
      </c>
      <c r="N18" s="91"/>
      <c r="O18" s="94">
        <f>P18+Q18+R18</f>
        <v>67962.486999999994</v>
      </c>
      <c r="P18" s="91">
        <v>2997.1</v>
      </c>
      <c r="Q18" s="94">
        <v>35211.199999999997</v>
      </c>
      <c r="R18" s="94">
        <v>29754.187000000002</v>
      </c>
      <c r="S18" s="140">
        <f t="shared" si="1"/>
        <v>1.2867362349471614</v>
      </c>
      <c r="T18" s="140">
        <f t="shared" si="1"/>
        <v>1</v>
      </c>
      <c r="U18" s="133">
        <f t="shared" si="1"/>
        <v>7.0603040723041754</v>
      </c>
      <c r="V18" s="133"/>
      <c r="W18" s="133">
        <f t="shared" si="9"/>
        <v>7.0603040723041754</v>
      </c>
      <c r="X18" s="133">
        <f t="shared" si="9"/>
        <v>0.36306480920654149</v>
      </c>
      <c r="Y18" s="133">
        <f t="shared" si="3"/>
        <v>25.682859226841718</v>
      </c>
      <c r="Z18" s="133"/>
      <c r="AA18" s="366"/>
      <c r="AB18" s="48"/>
      <c r="AC18" s="48"/>
    </row>
    <row r="19" spans="1:29" ht="18" customHeight="1">
      <c r="A19" s="212">
        <v>9</v>
      </c>
      <c r="B19" s="213" t="s">
        <v>301</v>
      </c>
      <c r="C19" s="91">
        <f t="shared" si="4"/>
        <v>185716</v>
      </c>
      <c r="D19" s="91">
        <v>152526</v>
      </c>
      <c r="E19" s="91">
        <f t="shared" si="5"/>
        <v>33190</v>
      </c>
      <c r="F19" s="91"/>
      <c r="G19" s="91">
        <f t="shared" si="6"/>
        <v>33190</v>
      </c>
      <c r="H19" s="91">
        <v>31468</v>
      </c>
      <c r="I19" s="91">
        <v>1722</v>
      </c>
      <c r="J19" s="91"/>
      <c r="K19" s="130">
        <f>+L19+M19</f>
        <v>297676.25</v>
      </c>
      <c r="L19" s="94">
        <f t="shared" si="10"/>
        <v>152526</v>
      </c>
      <c r="M19" s="94">
        <f t="shared" si="7"/>
        <v>145150.25</v>
      </c>
      <c r="N19" s="130"/>
      <c r="O19" s="94">
        <f t="shared" si="8"/>
        <v>145150.25</v>
      </c>
      <c r="P19" s="130">
        <v>10300</v>
      </c>
      <c r="Q19" s="94">
        <v>9929.25</v>
      </c>
      <c r="R19" s="94">
        <v>124921</v>
      </c>
      <c r="S19" s="140">
        <f t="shared" si="1"/>
        <v>1.6028573197785867</v>
      </c>
      <c r="T19" s="140">
        <f t="shared" si="1"/>
        <v>1</v>
      </c>
      <c r="U19" s="133">
        <f t="shared" si="1"/>
        <v>4.373312744802651</v>
      </c>
      <c r="V19" s="133"/>
      <c r="W19" s="133">
        <f t="shared" si="9"/>
        <v>4.373312744802651</v>
      </c>
      <c r="X19" s="133">
        <f t="shared" si="9"/>
        <v>0.32731663912546077</v>
      </c>
      <c r="Y19" s="133">
        <f t="shared" si="3"/>
        <v>5.7661149825783973</v>
      </c>
      <c r="Z19" s="133"/>
      <c r="AA19" s="366"/>
      <c r="AB19" s="48"/>
      <c r="AC19" s="48"/>
    </row>
    <row r="20" spans="1:29" ht="18" customHeight="1">
      <c r="A20" s="214">
        <v>10</v>
      </c>
      <c r="B20" s="215" t="s">
        <v>586</v>
      </c>
      <c r="C20" s="131">
        <f t="shared" si="4"/>
        <v>274907</v>
      </c>
      <c r="D20" s="131">
        <v>268719</v>
      </c>
      <c r="E20" s="131">
        <f t="shared" si="5"/>
        <v>6188</v>
      </c>
      <c r="F20" s="131"/>
      <c r="G20" s="131">
        <f t="shared" si="6"/>
        <v>6188</v>
      </c>
      <c r="H20" s="131">
        <v>5058</v>
      </c>
      <c r="I20" s="131">
        <v>1130</v>
      </c>
      <c r="J20" s="131"/>
      <c r="K20" s="131">
        <f>L20+M20</f>
        <v>458824.02899999998</v>
      </c>
      <c r="L20" s="135">
        <f t="shared" si="10"/>
        <v>268719</v>
      </c>
      <c r="M20" s="131">
        <f>N20+O20</f>
        <v>190105.02900000001</v>
      </c>
      <c r="N20" s="131"/>
      <c r="O20" s="131">
        <f>P20+Q20+R20</f>
        <v>190105.02900000001</v>
      </c>
      <c r="P20" s="131">
        <v>5817</v>
      </c>
      <c r="Q20" s="135">
        <v>18902.028999999999</v>
      </c>
      <c r="R20" s="135">
        <v>165386</v>
      </c>
      <c r="S20" s="142">
        <f t="shared" si="1"/>
        <v>1.6690154452232937</v>
      </c>
      <c r="T20" s="142">
        <f t="shared" si="1"/>
        <v>1</v>
      </c>
      <c r="U20" s="136">
        <f t="shared" si="1"/>
        <v>30.721562540400779</v>
      </c>
      <c r="V20" s="136"/>
      <c r="W20" s="136">
        <f t="shared" si="9"/>
        <v>30.721562540400779</v>
      </c>
      <c r="X20" s="136">
        <f>P20/H20</f>
        <v>1.1500593119810201</v>
      </c>
      <c r="Y20" s="136">
        <f>Q20/I20</f>
        <v>16.727459292035398</v>
      </c>
      <c r="Z20" s="136"/>
      <c r="AA20" s="366"/>
      <c r="AB20" s="48"/>
      <c r="AC20" s="48"/>
    </row>
    <row r="21" spans="1:29">
      <c r="J21" s="48"/>
      <c r="P21" s="48"/>
      <c r="Q21" s="48"/>
      <c r="R21" s="48"/>
    </row>
    <row r="23" spans="1:29">
      <c r="G23" s="48"/>
      <c r="H23" s="48"/>
      <c r="K23" s="48"/>
      <c r="O23" s="48"/>
    </row>
  </sheetData>
  <mergeCells count="33">
    <mergeCell ref="E7:E8"/>
    <mergeCell ref="F7:G7"/>
    <mergeCell ref="H7:H8"/>
    <mergeCell ref="I7:I8"/>
    <mergeCell ref="J7:J8"/>
    <mergeCell ref="R7:R8"/>
    <mergeCell ref="T6:T8"/>
    <mergeCell ref="U6:Z6"/>
    <mergeCell ref="M7:M8"/>
    <mergeCell ref="N7:O7"/>
    <mergeCell ref="P7:P8"/>
    <mergeCell ref="S6:S8"/>
    <mergeCell ref="U7:U8"/>
    <mergeCell ref="V7:W7"/>
    <mergeCell ref="X7:X8"/>
    <mergeCell ref="Q7:Q8"/>
    <mergeCell ref="Y7:Y8"/>
    <mergeCell ref="B1:D1"/>
    <mergeCell ref="A2:Z2"/>
    <mergeCell ref="A3:Z3"/>
    <mergeCell ref="X4:Z4"/>
    <mergeCell ref="A5:A8"/>
    <mergeCell ref="B5:B8"/>
    <mergeCell ref="C5:J5"/>
    <mergeCell ref="K5:R5"/>
    <mergeCell ref="S5:Z5"/>
    <mergeCell ref="C6:C8"/>
    <mergeCell ref="D6:D8"/>
    <mergeCell ref="E6:J6"/>
    <mergeCell ref="K6:K8"/>
    <mergeCell ref="L6:L8"/>
    <mergeCell ref="M6:R6"/>
    <mergeCell ref="Z7:Z8"/>
  </mergeCells>
  <pageMargins left="0.70866141732283472" right="0.70866141732283472" top="0.74803149606299213" bottom="0.74803149606299213" header="0.31496062992125984" footer="0.31496062992125984"/>
  <pageSetup paperSize="9"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49"/>
  <sheetViews>
    <sheetView showZeros="0" zoomScale="90" zoomScaleNormal="90" workbookViewId="0">
      <pane xSplit="2" ySplit="13" topLeftCell="C29" activePane="bottomRight" state="frozen"/>
      <selection activeCell="B14" sqref="B14"/>
      <selection pane="topRight" activeCell="B14" sqref="B14"/>
      <selection pane="bottomLeft" activeCell="B14" sqref="B14"/>
      <selection pane="bottomRight" activeCell="AJ16" sqref="AJ16"/>
    </sheetView>
  </sheetViews>
  <sheetFormatPr defaultColWidth="9.140625" defaultRowHeight="15" outlineLevelCol="1"/>
  <cols>
    <col min="1" max="1" width="5.7109375" style="45" customWidth="1"/>
    <col min="2" max="2" width="25" style="45" customWidth="1"/>
    <col min="3" max="3" width="10.7109375" style="14" hidden="1" customWidth="1"/>
    <col min="4" max="19" width="7.28515625" style="14" hidden="1" customWidth="1" outlineLevel="1"/>
    <col min="20" max="20" width="10.85546875" style="45" customWidth="1" collapsed="1"/>
    <col min="21" max="36" width="7.28515625" style="45" customWidth="1"/>
    <col min="37" max="37" width="11.5703125" style="45" hidden="1" customWidth="1" outlineLevel="1"/>
    <col min="38" max="53" width="9.140625" style="45" hidden="1" customWidth="1" outlineLevel="1"/>
    <col min="54" max="54" width="9.140625" style="45" collapsed="1"/>
    <col min="55" max="16384" width="9.140625" style="45"/>
  </cols>
  <sheetData>
    <row r="1" spans="1:56" ht="15" customHeight="1">
      <c r="A1" s="654" t="s">
        <v>541</v>
      </c>
      <c r="B1" s="654"/>
      <c r="Q1" s="620"/>
      <c r="R1" s="620"/>
      <c r="S1" s="620"/>
    </row>
    <row r="2" spans="1:56">
      <c r="A2" s="46"/>
    </row>
    <row r="3" spans="1:56">
      <c r="A3" s="655" t="s">
        <v>592</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row>
    <row r="4" spans="1:56">
      <c r="A4" s="656" t="s">
        <v>591</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row>
    <row r="5" spans="1:56" hidden="1">
      <c r="B5" s="47"/>
      <c r="Y5" s="48"/>
    </row>
    <row r="6" spans="1:56">
      <c r="B6" s="47"/>
      <c r="R6" s="49"/>
      <c r="S6" s="49"/>
      <c r="AZ6" s="656" t="s">
        <v>62</v>
      </c>
      <c r="BA6" s="656"/>
    </row>
    <row r="7" spans="1:56" s="44" customFormat="1" ht="24.75" customHeight="1">
      <c r="A7" s="650" t="s">
        <v>16</v>
      </c>
      <c r="B7" s="650" t="s">
        <v>63</v>
      </c>
      <c r="C7" s="651" t="s">
        <v>303</v>
      </c>
      <c r="D7" s="651"/>
      <c r="E7" s="651"/>
      <c r="F7" s="651"/>
      <c r="G7" s="651"/>
      <c r="H7" s="651"/>
      <c r="I7" s="651"/>
      <c r="J7" s="651"/>
      <c r="K7" s="651"/>
      <c r="L7" s="651"/>
      <c r="M7" s="651"/>
      <c r="N7" s="651"/>
      <c r="O7" s="651"/>
      <c r="P7" s="651"/>
      <c r="Q7" s="651"/>
      <c r="R7" s="651"/>
      <c r="S7" s="651"/>
      <c r="T7" s="652" t="s">
        <v>324</v>
      </c>
      <c r="U7" s="652"/>
      <c r="V7" s="652"/>
      <c r="W7" s="652"/>
      <c r="X7" s="652"/>
      <c r="Y7" s="652"/>
      <c r="Z7" s="652"/>
      <c r="AA7" s="652"/>
      <c r="AB7" s="652"/>
      <c r="AC7" s="652"/>
      <c r="AD7" s="652"/>
      <c r="AE7" s="652"/>
      <c r="AF7" s="652"/>
      <c r="AG7" s="652"/>
      <c r="AH7" s="652"/>
      <c r="AI7" s="652"/>
      <c r="AJ7" s="652"/>
      <c r="AK7" s="652" t="s">
        <v>325</v>
      </c>
      <c r="AL7" s="652"/>
      <c r="AM7" s="652"/>
      <c r="AN7" s="652"/>
      <c r="AO7" s="652"/>
      <c r="AP7" s="652"/>
      <c r="AQ7" s="652"/>
      <c r="AR7" s="652"/>
      <c r="AS7" s="652"/>
      <c r="AT7" s="652"/>
      <c r="AU7" s="652"/>
      <c r="AV7" s="652"/>
      <c r="AW7" s="652"/>
      <c r="AX7" s="652"/>
      <c r="AY7" s="652"/>
      <c r="AZ7" s="652"/>
      <c r="BA7" s="652"/>
    </row>
    <row r="8" spans="1:56">
      <c r="A8" s="650"/>
      <c r="B8" s="650"/>
      <c r="C8" s="607" t="s">
        <v>153</v>
      </c>
      <c r="D8" s="607" t="s">
        <v>159</v>
      </c>
      <c r="E8" s="607"/>
      <c r="F8" s="607" t="s">
        <v>314</v>
      </c>
      <c r="G8" s="607"/>
      <c r="H8" s="607"/>
      <c r="I8" s="607"/>
      <c r="J8" s="607"/>
      <c r="K8" s="607"/>
      <c r="L8" s="607"/>
      <c r="M8" s="607" t="s">
        <v>313</v>
      </c>
      <c r="N8" s="607"/>
      <c r="O8" s="607"/>
      <c r="P8" s="607"/>
      <c r="Q8" s="607"/>
      <c r="R8" s="607"/>
      <c r="S8" s="607"/>
      <c r="T8" s="650" t="s">
        <v>153</v>
      </c>
      <c r="U8" s="650" t="s">
        <v>159</v>
      </c>
      <c r="V8" s="650"/>
      <c r="W8" s="650" t="s">
        <v>314</v>
      </c>
      <c r="X8" s="650"/>
      <c r="Y8" s="650"/>
      <c r="Z8" s="650"/>
      <c r="AA8" s="650"/>
      <c r="AB8" s="650"/>
      <c r="AC8" s="650"/>
      <c r="AD8" s="650" t="s">
        <v>313</v>
      </c>
      <c r="AE8" s="650"/>
      <c r="AF8" s="650"/>
      <c r="AG8" s="650"/>
      <c r="AH8" s="650"/>
      <c r="AI8" s="650"/>
      <c r="AJ8" s="650"/>
      <c r="AK8" s="650" t="s">
        <v>153</v>
      </c>
      <c r="AL8" s="650" t="s">
        <v>159</v>
      </c>
      <c r="AM8" s="650"/>
      <c r="AN8" s="650" t="s">
        <v>314</v>
      </c>
      <c r="AO8" s="650"/>
      <c r="AP8" s="650"/>
      <c r="AQ8" s="650"/>
      <c r="AR8" s="650"/>
      <c r="AS8" s="650"/>
      <c r="AT8" s="650"/>
      <c r="AU8" s="650" t="s">
        <v>313</v>
      </c>
      <c r="AV8" s="650"/>
      <c r="AW8" s="650"/>
      <c r="AX8" s="650"/>
      <c r="AY8" s="650"/>
      <c r="AZ8" s="650"/>
      <c r="BA8" s="650"/>
    </row>
    <row r="9" spans="1:56">
      <c r="A9" s="650"/>
      <c r="B9" s="650"/>
      <c r="C9" s="607"/>
      <c r="D9" s="653" t="s">
        <v>183</v>
      </c>
      <c r="E9" s="653" t="s">
        <v>184</v>
      </c>
      <c r="F9" s="607" t="s">
        <v>153</v>
      </c>
      <c r="G9" s="653" t="s">
        <v>183</v>
      </c>
      <c r="H9" s="653"/>
      <c r="I9" s="653"/>
      <c r="J9" s="653" t="s">
        <v>184</v>
      </c>
      <c r="K9" s="653"/>
      <c r="L9" s="653"/>
      <c r="M9" s="607" t="s">
        <v>153</v>
      </c>
      <c r="N9" s="653" t="s">
        <v>183</v>
      </c>
      <c r="O9" s="653"/>
      <c r="P9" s="653"/>
      <c r="Q9" s="653" t="s">
        <v>184</v>
      </c>
      <c r="R9" s="653"/>
      <c r="S9" s="653"/>
      <c r="T9" s="650"/>
      <c r="U9" s="657" t="s">
        <v>183</v>
      </c>
      <c r="V9" s="657" t="s">
        <v>184</v>
      </c>
      <c r="W9" s="650" t="s">
        <v>153</v>
      </c>
      <c r="X9" s="657" t="s">
        <v>183</v>
      </c>
      <c r="Y9" s="657"/>
      <c r="Z9" s="657"/>
      <c r="AA9" s="657" t="s">
        <v>184</v>
      </c>
      <c r="AB9" s="657"/>
      <c r="AC9" s="657"/>
      <c r="AD9" s="650" t="s">
        <v>153</v>
      </c>
      <c r="AE9" s="657" t="s">
        <v>183</v>
      </c>
      <c r="AF9" s="657"/>
      <c r="AG9" s="657"/>
      <c r="AH9" s="657" t="s">
        <v>184</v>
      </c>
      <c r="AI9" s="657"/>
      <c r="AJ9" s="657"/>
      <c r="AK9" s="650"/>
      <c r="AL9" s="657" t="s">
        <v>183</v>
      </c>
      <c r="AM9" s="657" t="s">
        <v>184</v>
      </c>
      <c r="AN9" s="650" t="s">
        <v>153</v>
      </c>
      <c r="AO9" s="657" t="s">
        <v>183</v>
      </c>
      <c r="AP9" s="657"/>
      <c r="AQ9" s="657"/>
      <c r="AR9" s="657" t="s">
        <v>184</v>
      </c>
      <c r="AS9" s="657"/>
      <c r="AT9" s="657"/>
      <c r="AU9" s="650" t="s">
        <v>153</v>
      </c>
      <c r="AV9" s="657" t="s">
        <v>183</v>
      </c>
      <c r="AW9" s="657"/>
      <c r="AX9" s="657"/>
      <c r="AY9" s="657" t="s">
        <v>184</v>
      </c>
      <c r="AZ9" s="657"/>
      <c r="BA9" s="657"/>
    </row>
    <row r="10" spans="1:56" ht="46.5" customHeight="1">
      <c r="A10" s="650"/>
      <c r="B10" s="650"/>
      <c r="C10" s="607"/>
      <c r="D10" s="653"/>
      <c r="E10" s="653"/>
      <c r="F10" s="607"/>
      <c r="G10" s="50" t="s">
        <v>153</v>
      </c>
      <c r="H10" s="50" t="s">
        <v>172</v>
      </c>
      <c r="I10" s="50" t="s">
        <v>171</v>
      </c>
      <c r="J10" s="50" t="s">
        <v>153</v>
      </c>
      <c r="K10" s="50" t="s">
        <v>172</v>
      </c>
      <c r="L10" s="50" t="s">
        <v>171</v>
      </c>
      <c r="M10" s="607"/>
      <c r="N10" s="50" t="s">
        <v>153</v>
      </c>
      <c r="O10" s="50" t="s">
        <v>172</v>
      </c>
      <c r="P10" s="50" t="s">
        <v>171</v>
      </c>
      <c r="Q10" s="50" t="s">
        <v>153</v>
      </c>
      <c r="R10" s="50" t="s">
        <v>172</v>
      </c>
      <c r="S10" s="50" t="s">
        <v>171</v>
      </c>
      <c r="T10" s="650"/>
      <c r="U10" s="657"/>
      <c r="V10" s="657"/>
      <c r="W10" s="650"/>
      <c r="X10" s="51" t="s">
        <v>153</v>
      </c>
      <c r="Y10" s="51" t="s">
        <v>172</v>
      </c>
      <c r="Z10" s="51" t="s">
        <v>171</v>
      </c>
      <c r="AA10" s="51" t="s">
        <v>153</v>
      </c>
      <c r="AB10" s="51" t="s">
        <v>172</v>
      </c>
      <c r="AC10" s="51" t="s">
        <v>171</v>
      </c>
      <c r="AD10" s="650"/>
      <c r="AE10" s="51" t="s">
        <v>153</v>
      </c>
      <c r="AF10" s="51" t="s">
        <v>172</v>
      </c>
      <c r="AG10" s="51" t="s">
        <v>171</v>
      </c>
      <c r="AH10" s="51" t="s">
        <v>153</v>
      </c>
      <c r="AI10" s="51" t="s">
        <v>172</v>
      </c>
      <c r="AJ10" s="51" t="s">
        <v>171</v>
      </c>
      <c r="AK10" s="650"/>
      <c r="AL10" s="657"/>
      <c r="AM10" s="657"/>
      <c r="AN10" s="650"/>
      <c r="AO10" s="51" t="s">
        <v>153</v>
      </c>
      <c r="AP10" s="51" t="s">
        <v>172</v>
      </c>
      <c r="AQ10" s="51" t="s">
        <v>171</v>
      </c>
      <c r="AR10" s="51" t="s">
        <v>153</v>
      </c>
      <c r="AS10" s="51" t="s">
        <v>172</v>
      </c>
      <c r="AT10" s="51" t="s">
        <v>171</v>
      </c>
      <c r="AU10" s="650"/>
      <c r="AV10" s="51" t="s">
        <v>153</v>
      </c>
      <c r="AW10" s="51" t="s">
        <v>172</v>
      </c>
      <c r="AX10" s="51" t="s">
        <v>171</v>
      </c>
      <c r="AY10" s="51" t="s">
        <v>153</v>
      </c>
      <c r="AZ10" s="51" t="s">
        <v>172</v>
      </c>
      <c r="BA10" s="51" t="s">
        <v>171</v>
      </c>
    </row>
    <row r="11" spans="1:56" ht="27" customHeight="1">
      <c r="A11" s="51" t="s">
        <v>23</v>
      </c>
      <c r="B11" s="51" t="s">
        <v>24</v>
      </c>
      <c r="C11" s="50" t="s">
        <v>147</v>
      </c>
      <c r="D11" s="50" t="s">
        <v>312</v>
      </c>
      <c r="E11" s="50" t="s">
        <v>311</v>
      </c>
      <c r="F11" s="50" t="s">
        <v>310</v>
      </c>
      <c r="G11" s="50" t="s">
        <v>309</v>
      </c>
      <c r="H11" s="50">
        <v>6</v>
      </c>
      <c r="I11" s="50">
        <v>7</v>
      </c>
      <c r="J11" s="50" t="s">
        <v>308</v>
      </c>
      <c r="K11" s="50">
        <v>9</v>
      </c>
      <c r="L11" s="50">
        <v>10</v>
      </c>
      <c r="M11" s="50" t="s">
        <v>307</v>
      </c>
      <c r="N11" s="50" t="s">
        <v>306</v>
      </c>
      <c r="O11" s="50">
        <v>13</v>
      </c>
      <c r="P11" s="50">
        <v>14</v>
      </c>
      <c r="Q11" s="50" t="s">
        <v>305</v>
      </c>
      <c r="R11" s="50">
        <v>16</v>
      </c>
      <c r="S11" s="50">
        <v>17</v>
      </c>
      <c r="T11" s="51" t="s">
        <v>315</v>
      </c>
      <c r="U11" s="51" t="s">
        <v>316</v>
      </c>
      <c r="V11" s="51" t="s">
        <v>317</v>
      </c>
      <c r="W11" s="51" t="s">
        <v>318</v>
      </c>
      <c r="X11" s="51" t="s">
        <v>319</v>
      </c>
      <c r="Y11" s="51">
        <v>8</v>
      </c>
      <c r="Z11" s="51">
        <v>9</v>
      </c>
      <c r="AA11" s="51" t="s">
        <v>320</v>
      </c>
      <c r="AB11" s="51">
        <v>11</v>
      </c>
      <c r="AC11" s="51">
        <v>12</v>
      </c>
      <c r="AD11" s="51" t="s">
        <v>321</v>
      </c>
      <c r="AE11" s="51" t="s">
        <v>322</v>
      </c>
      <c r="AF11" s="51">
        <v>15</v>
      </c>
      <c r="AG11" s="51">
        <v>16</v>
      </c>
      <c r="AH11" s="51" t="s">
        <v>323</v>
      </c>
      <c r="AI11" s="51">
        <v>18</v>
      </c>
      <c r="AJ11" s="51">
        <v>19</v>
      </c>
      <c r="AK11" s="51" t="s">
        <v>482</v>
      </c>
      <c r="AL11" s="51" t="s">
        <v>483</v>
      </c>
      <c r="AM11" s="51" t="s">
        <v>484</v>
      </c>
      <c r="AN11" s="51" t="s">
        <v>485</v>
      </c>
      <c r="AO11" s="51" t="s">
        <v>486</v>
      </c>
      <c r="AP11" s="51" t="s">
        <v>487</v>
      </c>
      <c r="AQ11" s="51" t="s">
        <v>488</v>
      </c>
      <c r="AR11" s="51" t="s">
        <v>489</v>
      </c>
      <c r="AS11" s="51" t="s">
        <v>490</v>
      </c>
      <c r="AT11" s="51" t="s">
        <v>491</v>
      </c>
      <c r="AU11" s="51" t="s">
        <v>492</v>
      </c>
      <c r="AV11" s="51" t="s">
        <v>493</v>
      </c>
      <c r="AW11" s="51" t="s">
        <v>494</v>
      </c>
      <c r="AX11" s="51" t="s">
        <v>495</v>
      </c>
      <c r="AY11" s="51" t="s">
        <v>496</v>
      </c>
      <c r="AZ11" s="51" t="s">
        <v>497</v>
      </c>
      <c r="BA11" s="51" t="s">
        <v>498</v>
      </c>
    </row>
    <row r="12" spans="1:56">
      <c r="A12" s="52"/>
      <c r="B12" s="53" t="s">
        <v>155</v>
      </c>
      <c r="C12" s="54">
        <f>SUBTOTAL(9,C13:C46)</f>
        <v>0</v>
      </c>
      <c r="D12" s="54">
        <f t="shared" ref="D12:AJ12" si="0">SUBTOTAL(9,D13:D46)</f>
        <v>0</v>
      </c>
      <c r="E12" s="54">
        <f t="shared" si="0"/>
        <v>0</v>
      </c>
      <c r="F12" s="54">
        <f t="shared" si="0"/>
        <v>0</v>
      </c>
      <c r="G12" s="54">
        <f t="shared" si="0"/>
        <v>0</v>
      </c>
      <c r="H12" s="54">
        <f t="shared" si="0"/>
        <v>0</v>
      </c>
      <c r="I12" s="54">
        <f t="shared" si="0"/>
        <v>0</v>
      </c>
      <c r="J12" s="54">
        <f t="shared" si="0"/>
        <v>0</v>
      </c>
      <c r="K12" s="54">
        <f t="shared" si="0"/>
        <v>0</v>
      </c>
      <c r="L12" s="54">
        <f t="shared" si="0"/>
        <v>0</v>
      </c>
      <c r="M12" s="54">
        <f>SUBTOTAL(9,M13:M46)</f>
        <v>0</v>
      </c>
      <c r="N12" s="54">
        <f t="shared" si="0"/>
        <v>0</v>
      </c>
      <c r="O12" s="54">
        <f t="shared" si="0"/>
        <v>0</v>
      </c>
      <c r="P12" s="54">
        <f t="shared" si="0"/>
        <v>0</v>
      </c>
      <c r="Q12" s="54">
        <f t="shared" si="0"/>
        <v>0</v>
      </c>
      <c r="R12" s="54">
        <f t="shared" si="0"/>
        <v>0</v>
      </c>
      <c r="S12" s="54">
        <f t="shared" si="0"/>
        <v>0</v>
      </c>
      <c r="T12" s="55">
        <f>SUBTOTAL(9,T13:T46)</f>
        <v>43796.432468999992</v>
      </c>
      <c r="U12" s="55">
        <f t="shared" si="0"/>
        <v>39005.422468999983</v>
      </c>
      <c r="V12" s="55">
        <f t="shared" si="0"/>
        <v>4791.01</v>
      </c>
      <c r="W12" s="55">
        <f t="shared" si="0"/>
        <v>36700.703468999993</v>
      </c>
      <c r="X12" s="55">
        <f>SUBTOTAL(9,X13:X46)</f>
        <v>36700.703468999993</v>
      </c>
      <c r="Y12" s="55">
        <f t="shared" si="0"/>
        <v>36700.703468999993</v>
      </c>
      <c r="Z12" s="55">
        <f t="shared" si="0"/>
        <v>0</v>
      </c>
      <c r="AA12" s="55">
        <f t="shared" si="0"/>
        <v>0</v>
      </c>
      <c r="AB12" s="55">
        <f t="shared" si="0"/>
        <v>0</v>
      </c>
      <c r="AC12" s="55">
        <f t="shared" si="0"/>
        <v>0</v>
      </c>
      <c r="AD12" s="55">
        <f t="shared" si="0"/>
        <v>7095.7290000000003</v>
      </c>
      <c r="AE12" s="55">
        <f t="shared" si="0"/>
        <v>2304.7190000000001</v>
      </c>
      <c r="AF12" s="55">
        <f t="shared" si="0"/>
        <v>2304.7190000000001</v>
      </c>
      <c r="AG12" s="55">
        <f t="shared" si="0"/>
        <v>0</v>
      </c>
      <c r="AH12" s="55">
        <f t="shared" si="0"/>
        <v>4791.01</v>
      </c>
      <c r="AI12" s="55">
        <f t="shared" si="0"/>
        <v>4791.01</v>
      </c>
      <c r="AJ12" s="55">
        <f t="shared" si="0"/>
        <v>0</v>
      </c>
      <c r="AK12" s="56"/>
      <c r="AL12" s="56"/>
      <c r="AM12" s="56"/>
      <c r="AN12" s="56"/>
      <c r="AO12" s="56"/>
      <c r="AP12" s="56"/>
      <c r="AQ12" s="56"/>
      <c r="AR12" s="56"/>
      <c r="AS12" s="56"/>
      <c r="AT12" s="56"/>
      <c r="AU12" s="56"/>
      <c r="AV12" s="56"/>
      <c r="AW12" s="56"/>
      <c r="AX12" s="56"/>
      <c r="AY12" s="56"/>
      <c r="AZ12" s="56"/>
      <c r="BA12" s="56"/>
    </row>
    <row r="13" spans="1:56">
      <c r="A13" s="57" t="s">
        <v>28</v>
      </c>
      <c r="B13" s="58" t="s">
        <v>266</v>
      </c>
      <c r="C13" s="54">
        <f>SUBTOTAL(9,C14:C34)</f>
        <v>0</v>
      </c>
      <c r="D13" s="54">
        <f t="shared" ref="D13:AJ13" si="1">SUBTOTAL(9,D14:D34)</f>
        <v>0</v>
      </c>
      <c r="E13" s="54">
        <f t="shared" si="1"/>
        <v>0</v>
      </c>
      <c r="F13" s="54">
        <f t="shared" si="1"/>
        <v>0</v>
      </c>
      <c r="G13" s="54">
        <f t="shared" si="1"/>
        <v>0</v>
      </c>
      <c r="H13" s="54">
        <f t="shared" si="1"/>
        <v>0</v>
      </c>
      <c r="I13" s="54">
        <f t="shared" si="1"/>
        <v>0</v>
      </c>
      <c r="J13" s="54">
        <f t="shared" si="1"/>
        <v>0</v>
      </c>
      <c r="K13" s="54">
        <f t="shared" si="1"/>
        <v>0</v>
      </c>
      <c r="L13" s="54">
        <f t="shared" si="1"/>
        <v>0</v>
      </c>
      <c r="M13" s="54">
        <f t="shared" si="1"/>
        <v>0</v>
      </c>
      <c r="N13" s="54">
        <f t="shared" si="1"/>
        <v>0</v>
      </c>
      <c r="O13" s="54">
        <f t="shared" si="1"/>
        <v>0</v>
      </c>
      <c r="P13" s="54">
        <f t="shared" si="1"/>
        <v>0</v>
      </c>
      <c r="Q13" s="54">
        <f t="shared" si="1"/>
        <v>0</v>
      </c>
      <c r="R13" s="54">
        <f t="shared" si="1"/>
        <v>0</v>
      </c>
      <c r="S13" s="54">
        <f t="shared" si="1"/>
        <v>0</v>
      </c>
      <c r="T13" s="54">
        <f t="shared" si="1"/>
        <v>37058.607468999995</v>
      </c>
      <c r="U13" s="54">
        <f t="shared" si="1"/>
        <v>36570.607468999995</v>
      </c>
      <c r="V13" s="54">
        <f>SUBTOTAL(9,V14:V34)</f>
        <v>488</v>
      </c>
      <c r="W13" s="54">
        <f t="shared" si="1"/>
        <v>36570.607468999995</v>
      </c>
      <c r="X13" s="54">
        <f t="shared" si="1"/>
        <v>36570.607468999995</v>
      </c>
      <c r="Y13" s="54">
        <f t="shared" si="1"/>
        <v>36570.607468999995</v>
      </c>
      <c r="Z13" s="54">
        <f t="shared" si="1"/>
        <v>0</v>
      </c>
      <c r="AA13" s="54">
        <f t="shared" si="1"/>
        <v>0</v>
      </c>
      <c r="AB13" s="54">
        <f t="shared" si="1"/>
        <v>0</v>
      </c>
      <c r="AC13" s="54">
        <f t="shared" si="1"/>
        <v>0</v>
      </c>
      <c r="AD13" s="54">
        <f t="shared" si="1"/>
        <v>488</v>
      </c>
      <c r="AE13" s="54">
        <f t="shared" si="1"/>
        <v>0</v>
      </c>
      <c r="AF13" s="54">
        <f t="shared" si="1"/>
        <v>0</v>
      </c>
      <c r="AG13" s="54">
        <f t="shared" si="1"/>
        <v>0</v>
      </c>
      <c r="AH13" s="54">
        <f t="shared" si="1"/>
        <v>488</v>
      </c>
      <c r="AI13" s="54">
        <f t="shared" si="1"/>
        <v>488</v>
      </c>
      <c r="AJ13" s="54">
        <f t="shared" si="1"/>
        <v>0</v>
      </c>
      <c r="AK13" s="56"/>
      <c r="AL13" s="56"/>
      <c r="AM13" s="56"/>
      <c r="AN13" s="56"/>
      <c r="AO13" s="56"/>
      <c r="AP13" s="56"/>
      <c r="AQ13" s="56"/>
      <c r="AR13" s="56"/>
      <c r="AS13" s="56"/>
      <c r="AT13" s="56"/>
      <c r="AU13" s="56"/>
      <c r="AV13" s="56"/>
      <c r="AW13" s="56"/>
      <c r="AX13" s="56"/>
      <c r="AY13" s="56"/>
      <c r="AZ13" s="56"/>
      <c r="BA13" s="56"/>
    </row>
    <row r="14" spans="1:56" ht="21.75" customHeight="1">
      <c r="A14" s="59">
        <v>1</v>
      </c>
      <c r="B14" s="60" t="s">
        <v>218</v>
      </c>
      <c r="C14" s="61">
        <f>D14+E14</f>
        <v>0</v>
      </c>
      <c r="D14" s="62">
        <f>G14+N14</f>
        <v>0</v>
      </c>
      <c r="E14" s="62">
        <f>J14+Q14</f>
        <v>0</v>
      </c>
      <c r="F14" s="62">
        <f>G14+J14</f>
        <v>0</v>
      </c>
      <c r="G14" s="62">
        <f>H14+I14</f>
        <v>0</v>
      </c>
      <c r="H14" s="62"/>
      <c r="I14" s="62"/>
      <c r="J14" s="62">
        <f>K14+L14</f>
        <v>0</v>
      </c>
      <c r="K14" s="62"/>
      <c r="L14" s="62"/>
      <c r="M14" s="62">
        <f>N14+Q14</f>
        <v>0</v>
      </c>
      <c r="N14" s="62">
        <f>O14+P14</f>
        <v>0</v>
      </c>
      <c r="O14" s="63"/>
      <c r="P14" s="62"/>
      <c r="Q14" s="62">
        <f>R14+S14</f>
        <v>0</v>
      </c>
      <c r="R14" s="62"/>
      <c r="S14" s="62"/>
      <c r="T14" s="64">
        <f>U14+V14</f>
        <v>0</v>
      </c>
      <c r="U14" s="65">
        <f>X14+AE14</f>
        <v>0</v>
      </c>
      <c r="V14" s="65">
        <f>AA14+AH14</f>
        <v>0</v>
      </c>
      <c r="W14" s="65">
        <f>X14+AA14</f>
        <v>0</v>
      </c>
      <c r="X14" s="65">
        <f>Y14+Z14</f>
        <v>0</v>
      </c>
      <c r="Y14" s="66">
        <v>0</v>
      </c>
      <c r="Z14" s="65">
        <v>0</v>
      </c>
      <c r="AA14" s="65">
        <f>AB14+AC14</f>
        <v>0</v>
      </c>
      <c r="AB14" s="65"/>
      <c r="AC14" s="65">
        <v>0</v>
      </c>
      <c r="AD14" s="67">
        <f t="shared" ref="AD14:AD23" si="2">AE14+AH14</f>
        <v>0</v>
      </c>
      <c r="AE14" s="67">
        <f t="shared" ref="AE14:AE23" si="3">AF14+AG14</f>
        <v>0</v>
      </c>
      <c r="AF14" s="65">
        <v>0</v>
      </c>
      <c r="AG14" s="65">
        <v>0</v>
      </c>
      <c r="AH14" s="67">
        <f t="shared" ref="AH14:AH34" si="4">AI14+AJ14</f>
        <v>0</v>
      </c>
      <c r="AI14" s="65"/>
      <c r="AJ14" s="65">
        <v>0</v>
      </c>
      <c r="AK14" s="68"/>
      <c r="AL14" s="68"/>
      <c r="AM14" s="68"/>
      <c r="AN14" s="68"/>
      <c r="AO14" s="68"/>
      <c r="AP14" s="68"/>
      <c r="AQ14" s="68"/>
      <c r="AR14" s="68"/>
      <c r="AS14" s="68"/>
      <c r="AT14" s="68"/>
      <c r="AU14" s="68"/>
      <c r="AV14" s="68"/>
      <c r="AW14" s="68"/>
      <c r="AX14" s="68"/>
      <c r="AY14" s="68"/>
      <c r="AZ14" s="68"/>
      <c r="BA14" s="68"/>
    </row>
    <row r="15" spans="1:56" ht="21.75" customHeight="1">
      <c r="A15" s="59">
        <v>2</v>
      </c>
      <c r="B15" s="60" t="s">
        <v>477</v>
      </c>
      <c r="C15" s="61">
        <f t="shared" ref="C15:C34" si="5">D15+E15</f>
        <v>0</v>
      </c>
      <c r="D15" s="62">
        <f t="shared" ref="D15:D34" si="6">G15+N15</f>
        <v>0</v>
      </c>
      <c r="E15" s="62">
        <f>J15+Q15</f>
        <v>0</v>
      </c>
      <c r="F15" s="62">
        <f t="shared" ref="F15:F34" si="7">G15+J15</f>
        <v>0</v>
      </c>
      <c r="G15" s="62">
        <f t="shared" ref="G15:G34" si="8">H15+I15</f>
        <v>0</v>
      </c>
      <c r="H15" s="62"/>
      <c r="I15" s="62"/>
      <c r="J15" s="62">
        <f t="shared" ref="J15:J34" si="9">K15+L15</f>
        <v>0</v>
      </c>
      <c r="K15" s="62"/>
      <c r="L15" s="62"/>
      <c r="M15" s="62">
        <f t="shared" ref="M15:M34" si="10">N15+Q15</f>
        <v>0</v>
      </c>
      <c r="N15" s="62">
        <f t="shared" ref="N15:N34" si="11">O15+P15</f>
        <v>0</v>
      </c>
      <c r="O15" s="63"/>
      <c r="P15" s="62"/>
      <c r="Q15" s="62">
        <f t="shared" ref="Q15:Q34" si="12">R15+S15</f>
        <v>0</v>
      </c>
      <c r="R15" s="62"/>
      <c r="S15" s="62"/>
      <c r="T15" s="64">
        <f t="shared" ref="T15:T34" si="13">U15+V15</f>
        <v>0</v>
      </c>
      <c r="U15" s="65">
        <f t="shared" ref="U15:U34" si="14">X15+AE15</f>
        <v>0</v>
      </c>
      <c r="V15" s="65">
        <f t="shared" ref="V15:V34" si="15">AA15+AH15</f>
        <v>0</v>
      </c>
      <c r="W15" s="65">
        <f t="shared" ref="W15:W34" si="16">X15+AA15</f>
        <v>0</v>
      </c>
      <c r="X15" s="65">
        <f t="shared" ref="X15:X34" si="17">Y15+Z15</f>
        <v>0</v>
      </c>
      <c r="Y15" s="66">
        <v>0</v>
      </c>
      <c r="Z15" s="65">
        <v>0</v>
      </c>
      <c r="AA15" s="65">
        <f t="shared" ref="AA15:AA23" si="18">AB15+AC15</f>
        <v>0</v>
      </c>
      <c r="AB15" s="65"/>
      <c r="AC15" s="65">
        <v>0</v>
      </c>
      <c r="AD15" s="67">
        <f t="shared" si="2"/>
        <v>0</v>
      </c>
      <c r="AE15" s="67">
        <f t="shared" si="3"/>
        <v>0</v>
      </c>
      <c r="AF15" s="65">
        <v>0</v>
      </c>
      <c r="AG15" s="65">
        <v>0</v>
      </c>
      <c r="AH15" s="67">
        <f t="shared" si="4"/>
        <v>0</v>
      </c>
      <c r="AI15" s="65"/>
      <c r="AJ15" s="65">
        <v>0</v>
      </c>
      <c r="AK15" s="68"/>
      <c r="AL15" s="68"/>
      <c r="AM15" s="68"/>
      <c r="AN15" s="68"/>
      <c r="AO15" s="68"/>
      <c r="AP15" s="68"/>
      <c r="AQ15" s="68"/>
      <c r="AR15" s="68"/>
      <c r="AS15" s="68"/>
      <c r="AT15" s="68"/>
      <c r="AU15" s="68"/>
      <c r="AV15" s="68"/>
      <c r="AW15" s="68"/>
      <c r="AX15" s="68"/>
      <c r="AY15" s="68"/>
      <c r="AZ15" s="68"/>
      <c r="BA15" s="68"/>
      <c r="BD15" s="48"/>
    </row>
    <row r="16" spans="1:56" ht="24.75" customHeight="1">
      <c r="A16" s="59">
        <v>3</v>
      </c>
      <c r="B16" s="69" t="s">
        <v>277</v>
      </c>
      <c r="C16" s="61">
        <f t="shared" si="5"/>
        <v>0</v>
      </c>
      <c r="D16" s="62">
        <f t="shared" si="6"/>
        <v>0</v>
      </c>
      <c r="E16" s="62">
        <f t="shared" ref="E16:E34" si="19">J16+Q16</f>
        <v>0</v>
      </c>
      <c r="F16" s="62">
        <f t="shared" si="7"/>
        <v>0</v>
      </c>
      <c r="G16" s="62">
        <f t="shared" si="8"/>
        <v>0</v>
      </c>
      <c r="H16" s="62"/>
      <c r="I16" s="62"/>
      <c r="J16" s="62">
        <f t="shared" si="9"/>
        <v>0</v>
      </c>
      <c r="K16" s="62"/>
      <c r="L16" s="62"/>
      <c r="M16" s="62">
        <f t="shared" si="10"/>
        <v>0</v>
      </c>
      <c r="N16" s="62">
        <f t="shared" si="11"/>
        <v>0</v>
      </c>
      <c r="O16" s="63"/>
      <c r="P16" s="62"/>
      <c r="Q16" s="62">
        <f t="shared" si="12"/>
        <v>0</v>
      </c>
      <c r="R16" s="62"/>
      <c r="S16" s="62"/>
      <c r="T16" s="64">
        <f t="shared" si="13"/>
        <v>488</v>
      </c>
      <c r="U16" s="65">
        <f t="shared" si="14"/>
        <v>0</v>
      </c>
      <c r="V16" s="65">
        <f t="shared" si="15"/>
        <v>488</v>
      </c>
      <c r="W16" s="65">
        <f t="shared" si="16"/>
        <v>0</v>
      </c>
      <c r="X16" s="65">
        <f t="shared" si="17"/>
        <v>0</v>
      </c>
      <c r="Y16" s="66"/>
      <c r="Z16" s="65"/>
      <c r="AA16" s="65">
        <f t="shared" si="18"/>
        <v>0</v>
      </c>
      <c r="AB16" s="65"/>
      <c r="AC16" s="65"/>
      <c r="AD16" s="67">
        <f t="shared" si="2"/>
        <v>488</v>
      </c>
      <c r="AE16" s="67">
        <f t="shared" si="3"/>
        <v>0</v>
      </c>
      <c r="AF16" s="65"/>
      <c r="AG16" s="65"/>
      <c r="AH16" s="67">
        <f t="shared" si="4"/>
        <v>488</v>
      </c>
      <c r="AI16" s="65">
        <v>488</v>
      </c>
      <c r="AJ16" s="65"/>
      <c r="AK16" s="68"/>
      <c r="AL16" s="68"/>
      <c r="AM16" s="68"/>
      <c r="AN16" s="68"/>
      <c r="AO16" s="68"/>
      <c r="AP16" s="68"/>
      <c r="AQ16" s="68"/>
      <c r="AR16" s="68"/>
      <c r="AS16" s="68"/>
      <c r="AT16" s="68"/>
      <c r="AU16" s="68"/>
      <c r="AV16" s="68"/>
      <c r="AW16" s="68"/>
      <c r="AX16" s="68"/>
      <c r="AY16" s="68"/>
      <c r="AZ16" s="68"/>
      <c r="BA16" s="68"/>
    </row>
    <row r="17" spans="1:53" ht="25.5">
      <c r="A17" s="59">
        <v>4</v>
      </c>
      <c r="B17" s="69" t="s">
        <v>478</v>
      </c>
      <c r="C17" s="61">
        <f t="shared" si="5"/>
        <v>0</v>
      </c>
      <c r="D17" s="62">
        <f t="shared" si="6"/>
        <v>0</v>
      </c>
      <c r="E17" s="62">
        <f t="shared" si="19"/>
        <v>0</v>
      </c>
      <c r="F17" s="62">
        <f t="shared" si="7"/>
        <v>0</v>
      </c>
      <c r="G17" s="62">
        <f t="shared" si="8"/>
        <v>0</v>
      </c>
      <c r="H17" s="62"/>
      <c r="I17" s="62"/>
      <c r="J17" s="62">
        <f t="shared" si="9"/>
        <v>0</v>
      </c>
      <c r="K17" s="62"/>
      <c r="L17" s="62"/>
      <c r="M17" s="62">
        <f t="shared" si="10"/>
        <v>0</v>
      </c>
      <c r="N17" s="62">
        <f t="shared" si="11"/>
        <v>0</v>
      </c>
      <c r="O17" s="63"/>
      <c r="P17" s="62"/>
      <c r="Q17" s="62">
        <f t="shared" si="12"/>
        <v>0</v>
      </c>
      <c r="R17" s="62"/>
      <c r="S17" s="62"/>
      <c r="T17" s="64">
        <f t="shared" si="13"/>
        <v>0</v>
      </c>
      <c r="U17" s="65">
        <f t="shared" si="14"/>
        <v>0</v>
      </c>
      <c r="V17" s="65">
        <f t="shared" si="15"/>
        <v>0</v>
      </c>
      <c r="W17" s="65">
        <f t="shared" si="16"/>
        <v>0</v>
      </c>
      <c r="X17" s="65">
        <f t="shared" si="17"/>
        <v>0</v>
      </c>
      <c r="Y17" s="66">
        <v>0</v>
      </c>
      <c r="Z17" s="65">
        <v>0</v>
      </c>
      <c r="AA17" s="65">
        <f t="shared" si="18"/>
        <v>0</v>
      </c>
      <c r="AB17" s="65">
        <v>0</v>
      </c>
      <c r="AC17" s="65">
        <v>0</v>
      </c>
      <c r="AD17" s="67">
        <f t="shared" si="2"/>
        <v>0</v>
      </c>
      <c r="AE17" s="67">
        <f t="shared" si="3"/>
        <v>0</v>
      </c>
      <c r="AF17" s="65">
        <v>0</v>
      </c>
      <c r="AG17" s="65">
        <v>0</v>
      </c>
      <c r="AH17" s="67">
        <f t="shared" si="4"/>
        <v>0</v>
      </c>
      <c r="AI17" s="65"/>
      <c r="AJ17" s="65">
        <v>0</v>
      </c>
      <c r="AK17" s="68"/>
      <c r="AL17" s="68"/>
      <c r="AM17" s="68"/>
      <c r="AN17" s="68"/>
      <c r="AO17" s="68"/>
      <c r="AP17" s="68"/>
      <c r="AQ17" s="68"/>
      <c r="AR17" s="68"/>
      <c r="AS17" s="68"/>
      <c r="AT17" s="68"/>
      <c r="AU17" s="68"/>
      <c r="AV17" s="68"/>
      <c r="AW17" s="68"/>
      <c r="AX17" s="68"/>
      <c r="AY17" s="68"/>
      <c r="AZ17" s="68"/>
      <c r="BA17" s="68"/>
    </row>
    <row r="18" spans="1:53">
      <c r="A18" s="59">
        <v>5</v>
      </c>
      <c r="B18" s="60" t="s">
        <v>279</v>
      </c>
      <c r="C18" s="61">
        <f t="shared" si="5"/>
        <v>0</v>
      </c>
      <c r="D18" s="62">
        <f t="shared" si="6"/>
        <v>0</v>
      </c>
      <c r="E18" s="62">
        <f t="shared" si="19"/>
        <v>0</v>
      </c>
      <c r="F18" s="62">
        <f t="shared" si="7"/>
        <v>0</v>
      </c>
      <c r="G18" s="62">
        <f t="shared" si="8"/>
        <v>0</v>
      </c>
      <c r="H18" s="62"/>
      <c r="I18" s="62"/>
      <c r="J18" s="62">
        <f t="shared" si="9"/>
        <v>0</v>
      </c>
      <c r="K18" s="62"/>
      <c r="L18" s="62"/>
      <c r="M18" s="62">
        <f t="shared" si="10"/>
        <v>0</v>
      </c>
      <c r="N18" s="62">
        <f t="shared" si="11"/>
        <v>0</v>
      </c>
      <c r="O18" s="63"/>
      <c r="P18" s="62"/>
      <c r="Q18" s="62">
        <f t="shared" si="12"/>
        <v>0</v>
      </c>
      <c r="R18" s="62"/>
      <c r="S18" s="62"/>
      <c r="T18" s="64">
        <f t="shared" si="13"/>
        <v>0</v>
      </c>
      <c r="U18" s="65">
        <f t="shared" si="14"/>
        <v>0</v>
      </c>
      <c r="V18" s="65">
        <f t="shared" si="15"/>
        <v>0</v>
      </c>
      <c r="W18" s="65">
        <f t="shared" si="16"/>
        <v>0</v>
      </c>
      <c r="X18" s="65">
        <f t="shared" si="17"/>
        <v>0</v>
      </c>
      <c r="Y18" s="66">
        <v>0</v>
      </c>
      <c r="Z18" s="65">
        <v>0</v>
      </c>
      <c r="AA18" s="65">
        <f t="shared" si="18"/>
        <v>0</v>
      </c>
      <c r="AB18" s="65">
        <v>0</v>
      </c>
      <c r="AC18" s="65">
        <v>0</v>
      </c>
      <c r="AD18" s="67">
        <f t="shared" si="2"/>
        <v>0</v>
      </c>
      <c r="AE18" s="67">
        <f t="shared" si="3"/>
        <v>0</v>
      </c>
      <c r="AF18" s="65">
        <v>0</v>
      </c>
      <c r="AG18" s="65">
        <v>0</v>
      </c>
      <c r="AH18" s="67">
        <f t="shared" si="4"/>
        <v>0</v>
      </c>
      <c r="AI18" s="65"/>
      <c r="AJ18" s="65">
        <v>0</v>
      </c>
      <c r="AK18" s="68"/>
      <c r="AL18" s="68"/>
      <c r="AM18" s="68"/>
      <c r="AN18" s="68"/>
      <c r="AO18" s="68"/>
      <c r="AP18" s="68"/>
      <c r="AQ18" s="68"/>
      <c r="AR18" s="68"/>
      <c r="AS18" s="68"/>
      <c r="AT18" s="68"/>
      <c r="AU18" s="68"/>
      <c r="AV18" s="68"/>
      <c r="AW18" s="68"/>
      <c r="AX18" s="68"/>
      <c r="AY18" s="68"/>
      <c r="AZ18" s="68"/>
      <c r="BA18" s="68"/>
    </row>
    <row r="19" spans="1:53">
      <c r="A19" s="59">
        <v>6</v>
      </c>
      <c r="B19" s="60" t="s">
        <v>326</v>
      </c>
      <c r="C19" s="61">
        <f t="shared" si="5"/>
        <v>0</v>
      </c>
      <c r="D19" s="62">
        <f t="shared" si="6"/>
        <v>0</v>
      </c>
      <c r="E19" s="62">
        <f t="shared" si="19"/>
        <v>0</v>
      </c>
      <c r="F19" s="62">
        <f t="shared" si="7"/>
        <v>0</v>
      </c>
      <c r="G19" s="62">
        <f t="shared" si="8"/>
        <v>0</v>
      </c>
      <c r="H19" s="62"/>
      <c r="I19" s="62"/>
      <c r="J19" s="62">
        <f t="shared" si="9"/>
        <v>0</v>
      </c>
      <c r="K19" s="62"/>
      <c r="L19" s="62"/>
      <c r="M19" s="62">
        <f t="shared" si="10"/>
        <v>0</v>
      </c>
      <c r="N19" s="62">
        <f t="shared" si="11"/>
        <v>0</v>
      </c>
      <c r="O19" s="63"/>
      <c r="P19" s="62"/>
      <c r="Q19" s="62">
        <f t="shared" si="12"/>
        <v>0</v>
      </c>
      <c r="R19" s="62"/>
      <c r="S19" s="62"/>
      <c r="T19" s="64">
        <f t="shared" si="13"/>
        <v>0</v>
      </c>
      <c r="U19" s="65">
        <f t="shared" si="14"/>
        <v>0</v>
      </c>
      <c r="V19" s="65">
        <f t="shared" si="15"/>
        <v>0</v>
      </c>
      <c r="W19" s="65">
        <f t="shared" si="16"/>
        <v>0</v>
      </c>
      <c r="X19" s="65">
        <f t="shared" si="17"/>
        <v>0</v>
      </c>
      <c r="Y19" s="66">
        <v>0</v>
      </c>
      <c r="Z19" s="65">
        <v>0</v>
      </c>
      <c r="AA19" s="65">
        <f t="shared" si="18"/>
        <v>0</v>
      </c>
      <c r="AB19" s="65">
        <v>0</v>
      </c>
      <c r="AC19" s="65">
        <v>0</v>
      </c>
      <c r="AD19" s="67">
        <f t="shared" si="2"/>
        <v>0</v>
      </c>
      <c r="AE19" s="67">
        <f t="shared" si="3"/>
        <v>0</v>
      </c>
      <c r="AF19" s="65">
        <v>0</v>
      </c>
      <c r="AG19" s="65">
        <v>0</v>
      </c>
      <c r="AH19" s="67">
        <f t="shared" si="4"/>
        <v>0</v>
      </c>
      <c r="AI19" s="65"/>
      <c r="AJ19" s="65">
        <v>0</v>
      </c>
      <c r="AK19" s="68"/>
      <c r="AL19" s="68"/>
      <c r="AM19" s="68"/>
      <c r="AN19" s="68"/>
      <c r="AO19" s="68"/>
      <c r="AP19" s="68"/>
      <c r="AQ19" s="68"/>
      <c r="AR19" s="68"/>
      <c r="AS19" s="68"/>
      <c r="AT19" s="68"/>
      <c r="AU19" s="68"/>
      <c r="AV19" s="68"/>
      <c r="AW19" s="68"/>
      <c r="AX19" s="68"/>
      <c r="AY19" s="68"/>
      <c r="AZ19" s="68"/>
      <c r="BA19" s="68"/>
    </row>
    <row r="20" spans="1:53">
      <c r="A20" s="59">
        <v>7</v>
      </c>
      <c r="B20" s="60" t="s">
        <v>278</v>
      </c>
      <c r="C20" s="61">
        <f t="shared" si="5"/>
        <v>0</v>
      </c>
      <c r="D20" s="62">
        <f t="shared" si="6"/>
        <v>0</v>
      </c>
      <c r="E20" s="62">
        <f t="shared" si="19"/>
        <v>0</v>
      </c>
      <c r="F20" s="62">
        <f t="shared" si="7"/>
        <v>0</v>
      </c>
      <c r="G20" s="62">
        <f t="shared" si="8"/>
        <v>0</v>
      </c>
      <c r="H20" s="62"/>
      <c r="I20" s="62"/>
      <c r="J20" s="62">
        <f t="shared" si="9"/>
        <v>0</v>
      </c>
      <c r="K20" s="62"/>
      <c r="L20" s="62"/>
      <c r="M20" s="62">
        <f t="shared" si="10"/>
        <v>0</v>
      </c>
      <c r="N20" s="62">
        <f t="shared" si="11"/>
        <v>0</v>
      </c>
      <c r="O20" s="63"/>
      <c r="P20" s="62"/>
      <c r="Q20" s="62">
        <f t="shared" si="12"/>
        <v>0</v>
      </c>
      <c r="R20" s="62"/>
      <c r="S20" s="62"/>
      <c r="T20" s="64">
        <f t="shared" si="13"/>
        <v>0</v>
      </c>
      <c r="U20" s="65">
        <f t="shared" si="14"/>
        <v>0</v>
      </c>
      <c r="V20" s="65">
        <f t="shared" si="15"/>
        <v>0</v>
      </c>
      <c r="W20" s="65">
        <f t="shared" si="16"/>
        <v>0</v>
      </c>
      <c r="X20" s="65">
        <f t="shared" si="17"/>
        <v>0</v>
      </c>
      <c r="Y20" s="66">
        <v>0</v>
      </c>
      <c r="Z20" s="65">
        <v>0</v>
      </c>
      <c r="AA20" s="65">
        <f t="shared" si="18"/>
        <v>0</v>
      </c>
      <c r="AB20" s="65">
        <v>0</v>
      </c>
      <c r="AC20" s="65">
        <v>0</v>
      </c>
      <c r="AD20" s="67">
        <f t="shared" si="2"/>
        <v>0</v>
      </c>
      <c r="AE20" s="67">
        <f t="shared" si="3"/>
        <v>0</v>
      </c>
      <c r="AF20" s="65">
        <v>0</v>
      </c>
      <c r="AG20" s="65">
        <v>0</v>
      </c>
      <c r="AH20" s="67">
        <f t="shared" si="4"/>
        <v>0</v>
      </c>
      <c r="AI20" s="65"/>
      <c r="AJ20" s="65">
        <v>0</v>
      </c>
      <c r="AK20" s="68"/>
      <c r="AL20" s="68"/>
      <c r="AM20" s="68"/>
      <c r="AN20" s="68"/>
      <c r="AO20" s="68"/>
      <c r="AP20" s="68"/>
      <c r="AQ20" s="68"/>
      <c r="AR20" s="68"/>
      <c r="AS20" s="68"/>
      <c r="AT20" s="68"/>
      <c r="AU20" s="68"/>
      <c r="AV20" s="68"/>
      <c r="AW20" s="68"/>
      <c r="AX20" s="68"/>
      <c r="AY20" s="68"/>
      <c r="AZ20" s="68"/>
      <c r="BA20" s="68"/>
    </row>
    <row r="21" spans="1:53">
      <c r="A21" s="59">
        <v>8</v>
      </c>
      <c r="B21" s="60" t="s">
        <v>479</v>
      </c>
      <c r="C21" s="61">
        <f t="shared" si="5"/>
        <v>0</v>
      </c>
      <c r="D21" s="62">
        <f t="shared" si="6"/>
        <v>0</v>
      </c>
      <c r="E21" s="62">
        <f t="shared" si="19"/>
        <v>0</v>
      </c>
      <c r="F21" s="62">
        <f t="shared" si="7"/>
        <v>0</v>
      </c>
      <c r="G21" s="62">
        <f t="shared" si="8"/>
        <v>0</v>
      </c>
      <c r="H21" s="62"/>
      <c r="I21" s="62"/>
      <c r="J21" s="62">
        <f t="shared" si="9"/>
        <v>0</v>
      </c>
      <c r="K21" s="62"/>
      <c r="L21" s="62"/>
      <c r="M21" s="62">
        <f t="shared" si="10"/>
        <v>0</v>
      </c>
      <c r="N21" s="62">
        <f t="shared" si="11"/>
        <v>0</v>
      </c>
      <c r="O21" s="63"/>
      <c r="P21" s="62"/>
      <c r="Q21" s="62">
        <f t="shared" si="12"/>
        <v>0</v>
      </c>
      <c r="R21" s="62"/>
      <c r="S21" s="62"/>
      <c r="T21" s="64">
        <f t="shared" si="13"/>
        <v>0</v>
      </c>
      <c r="U21" s="65">
        <f t="shared" si="14"/>
        <v>0</v>
      </c>
      <c r="V21" s="65">
        <f t="shared" si="15"/>
        <v>0</v>
      </c>
      <c r="W21" s="65">
        <f t="shared" si="16"/>
        <v>0</v>
      </c>
      <c r="X21" s="65">
        <f t="shared" si="17"/>
        <v>0</v>
      </c>
      <c r="Y21" s="66">
        <v>0</v>
      </c>
      <c r="Z21" s="65">
        <v>0</v>
      </c>
      <c r="AA21" s="65">
        <f t="shared" si="18"/>
        <v>0</v>
      </c>
      <c r="AB21" s="65">
        <v>0</v>
      </c>
      <c r="AC21" s="65">
        <v>0</v>
      </c>
      <c r="AD21" s="67">
        <f t="shared" si="2"/>
        <v>0</v>
      </c>
      <c r="AE21" s="67">
        <f t="shared" si="3"/>
        <v>0</v>
      </c>
      <c r="AF21" s="65">
        <v>0</v>
      </c>
      <c r="AG21" s="65">
        <v>0</v>
      </c>
      <c r="AH21" s="67">
        <f t="shared" si="4"/>
        <v>0</v>
      </c>
      <c r="AI21" s="65"/>
      <c r="AJ21" s="65">
        <v>0</v>
      </c>
      <c r="AK21" s="68"/>
      <c r="AL21" s="68"/>
      <c r="AM21" s="68"/>
      <c r="AN21" s="68"/>
      <c r="AO21" s="68"/>
      <c r="AP21" s="68"/>
      <c r="AQ21" s="68"/>
      <c r="AR21" s="68"/>
      <c r="AS21" s="68"/>
      <c r="AT21" s="68"/>
      <c r="AU21" s="68"/>
      <c r="AV21" s="68"/>
      <c r="AW21" s="68"/>
      <c r="AX21" s="68"/>
      <c r="AY21" s="68"/>
      <c r="AZ21" s="68"/>
      <c r="BA21" s="68"/>
    </row>
    <row r="22" spans="1:53">
      <c r="A22" s="59">
        <v>9</v>
      </c>
      <c r="B22" s="60" t="s">
        <v>228</v>
      </c>
      <c r="C22" s="61">
        <f t="shared" si="5"/>
        <v>0</v>
      </c>
      <c r="D22" s="62">
        <f t="shared" si="6"/>
        <v>0</v>
      </c>
      <c r="E22" s="62">
        <f t="shared" si="19"/>
        <v>0</v>
      </c>
      <c r="F22" s="62">
        <f t="shared" si="7"/>
        <v>0</v>
      </c>
      <c r="G22" s="62">
        <f t="shared" si="8"/>
        <v>0</v>
      </c>
      <c r="H22" s="62"/>
      <c r="I22" s="62"/>
      <c r="J22" s="62">
        <f t="shared" si="9"/>
        <v>0</v>
      </c>
      <c r="K22" s="62"/>
      <c r="L22" s="62"/>
      <c r="M22" s="62">
        <f t="shared" si="10"/>
        <v>0</v>
      </c>
      <c r="N22" s="62">
        <f t="shared" si="11"/>
        <v>0</v>
      </c>
      <c r="O22" s="63"/>
      <c r="P22" s="62"/>
      <c r="Q22" s="62">
        <f t="shared" si="12"/>
        <v>0</v>
      </c>
      <c r="R22" s="62"/>
      <c r="S22" s="62"/>
      <c r="T22" s="64">
        <f t="shared" si="13"/>
        <v>0</v>
      </c>
      <c r="U22" s="65">
        <f t="shared" si="14"/>
        <v>0</v>
      </c>
      <c r="V22" s="65">
        <f t="shared" si="15"/>
        <v>0</v>
      </c>
      <c r="W22" s="65">
        <f t="shared" si="16"/>
        <v>0</v>
      </c>
      <c r="X22" s="65">
        <f t="shared" si="17"/>
        <v>0</v>
      </c>
      <c r="Y22" s="66">
        <v>0</v>
      </c>
      <c r="Z22" s="65">
        <v>0</v>
      </c>
      <c r="AA22" s="65">
        <f t="shared" si="18"/>
        <v>0</v>
      </c>
      <c r="AB22" s="65"/>
      <c r="AC22" s="65">
        <v>0</v>
      </c>
      <c r="AD22" s="67">
        <f t="shared" si="2"/>
        <v>0</v>
      </c>
      <c r="AE22" s="67">
        <f t="shared" si="3"/>
        <v>0</v>
      </c>
      <c r="AF22" s="65">
        <v>0</v>
      </c>
      <c r="AG22" s="65">
        <v>0</v>
      </c>
      <c r="AH22" s="67">
        <f t="shared" si="4"/>
        <v>0</v>
      </c>
      <c r="AI22" s="65">
        <v>0</v>
      </c>
      <c r="AJ22" s="65">
        <v>0</v>
      </c>
      <c r="AK22" s="68"/>
      <c r="AL22" s="68"/>
      <c r="AM22" s="68"/>
      <c r="AN22" s="68"/>
      <c r="AO22" s="68"/>
      <c r="AP22" s="68"/>
      <c r="AQ22" s="68"/>
      <c r="AR22" s="68"/>
      <c r="AS22" s="68"/>
      <c r="AT22" s="68"/>
      <c r="AU22" s="68"/>
      <c r="AV22" s="68"/>
      <c r="AW22" s="68"/>
      <c r="AX22" s="68"/>
      <c r="AY22" s="68"/>
      <c r="AZ22" s="68"/>
      <c r="BA22" s="68"/>
    </row>
    <row r="23" spans="1:53" ht="25.5" customHeight="1">
      <c r="A23" s="59">
        <v>10</v>
      </c>
      <c r="B23" s="60" t="s">
        <v>480</v>
      </c>
      <c r="C23" s="61">
        <f t="shared" si="5"/>
        <v>0</v>
      </c>
      <c r="D23" s="62">
        <f t="shared" si="6"/>
        <v>0</v>
      </c>
      <c r="E23" s="62">
        <f t="shared" si="19"/>
        <v>0</v>
      </c>
      <c r="F23" s="62">
        <f t="shared" si="7"/>
        <v>0</v>
      </c>
      <c r="G23" s="62">
        <f t="shared" si="8"/>
        <v>0</v>
      </c>
      <c r="H23" s="62"/>
      <c r="I23" s="62"/>
      <c r="J23" s="62">
        <f t="shared" si="9"/>
        <v>0</v>
      </c>
      <c r="K23" s="62"/>
      <c r="L23" s="62"/>
      <c r="M23" s="62">
        <f t="shared" si="10"/>
        <v>0</v>
      </c>
      <c r="N23" s="62">
        <f t="shared" si="11"/>
        <v>0</v>
      </c>
      <c r="O23" s="63"/>
      <c r="P23" s="62"/>
      <c r="Q23" s="62">
        <f t="shared" si="12"/>
        <v>0</v>
      </c>
      <c r="R23" s="62"/>
      <c r="S23" s="62"/>
      <c r="T23" s="64">
        <f t="shared" si="13"/>
        <v>0</v>
      </c>
      <c r="U23" s="65">
        <f t="shared" si="14"/>
        <v>0</v>
      </c>
      <c r="V23" s="65">
        <f t="shared" si="15"/>
        <v>0</v>
      </c>
      <c r="W23" s="65">
        <f t="shared" si="16"/>
        <v>0</v>
      </c>
      <c r="X23" s="65">
        <f t="shared" si="17"/>
        <v>0</v>
      </c>
      <c r="Y23" s="66">
        <v>0</v>
      </c>
      <c r="Z23" s="65">
        <v>0</v>
      </c>
      <c r="AA23" s="65">
        <f t="shared" si="18"/>
        <v>0</v>
      </c>
      <c r="AB23" s="65"/>
      <c r="AC23" s="65">
        <v>0</v>
      </c>
      <c r="AD23" s="67">
        <f t="shared" si="2"/>
        <v>0</v>
      </c>
      <c r="AE23" s="67">
        <f t="shared" si="3"/>
        <v>0</v>
      </c>
      <c r="AF23" s="65">
        <v>0</v>
      </c>
      <c r="AG23" s="65">
        <v>0</v>
      </c>
      <c r="AH23" s="67">
        <f t="shared" si="4"/>
        <v>0</v>
      </c>
      <c r="AI23" s="65">
        <v>0</v>
      </c>
      <c r="AJ23" s="65">
        <v>0</v>
      </c>
      <c r="AK23" s="68"/>
      <c r="AL23" s="68"/>
      <c r="AM23" s="68"/>
      <c r="AN23" s="68"/>
      <c r="AO23" s="68"/>
      <c r="AP23" s="68"/>
      <c r="AQ23" s="68"/>
      <c r="AR23" s="68"/>
      <c r="AS23" s="68"/>
      <c r="AT23" s="68"/>
      <c r="AU23" s="68"/>
      <c r="AV23" s="68"/>
      <c r="AW23" s="68"/>
      <c r="AX23" s="68"/>
      <c r="AY23" s="68"/>
      <c r="AZ23" s="68"/>
      <c r="BA23" s="68"/>
    </row>
    <row r="24" spans="1:53">
      <c r="A24" s="59">
        <v>11</v>
      </c>
      <c r="B24" s="69" t="s">
        <v>481</v>
      </c>
      <c r="C24" s="61">
        <f t="shared" si="5"/>
        <v>0</v>
      </c>
      <c r="D24" s="62">
        <f>G24+N24</f>
        <v>0</v>
      </c>
      <c r="E24" s="62">
        <f t="shared" si="19"/>
        <v>0</v>
      </c>
      <c r="F24" s="62">
        <f t="shared" si="7"/>
        <v>0</v>
      </c>
      <c r="G24" s="62">
        <f t="shared" si="8"/>
        <v>0</v>
      </c>
      <c r="H24" s="62"/>
      <c r="I24" s="62"/>
      <c r="J24" s="62">
        <f t="shared" si="9"/>
        <v>0</v>
      </c>
      <c r="K24" s="62"/>
      <c r="L24" s="62"/>
      <c r="M24" s="62">
        <f t="shared" si="10"/>
        <v>0</v>
      </c>
      <c r="N24" s="62">
        <f t="shared" si="11"/>
        <v>0</v>
      </c>
      <c r="O24" s="63"/>
      <c r="P24" s="62"/>
      <c r="Q24" s="62">
        <f t="shared" si="12"/>
        <v>0</v>
      </c>
      <c r="R24" s="62"/>
      <c r="S24" s="62"/>
      <c r="T24" s="64">
        <f>U24+V24</f>
        <v>0</v>
      </c>
      <c r="U24" s="65">
        <f t="shared" si="14"/>
        <v>0</v>
      </c>
      <c r="V24" s="65">
        <f t="shared" si="15"/>
        <v>0</v>
      </c>
      <c r="W24" s="65">
        <f t="shared" si="16"/>
        <v>0</v>
      </c>
      <c r="X24" s="65">
        <f t="shared" si="17"/>
        <v>0</v>
      </c>
      <c r="Y24" s="67"/>
      <c r="Z24" s="67"/>
      <c r="AA24" s="67"/>
      <c r="AB24" s="67"/>
      <c r="AC24" s="67"/>
      <c r="AD24" s="67">
        <f>AE24+AH24</f>
        <v>0</v>
      </c>
      <c r="AE24" s="67">
        <f>AF24+AG24</f>
        <v>0</v>
      </c>
      <c r="AF24" s="70"/>
      <c r="AG24" s="67"/>
      <c r="AH24" s="67">
        <f>AI24+AJ24</f>
        <v>0</v>
      </c>
      <c r="AI24" s="67"/>
      <c r="AJ24" s="67"/>
      <c r="AK24" s="68"/>
      <c r="AL24" s="68"/>
      <c r="AM24" s="68"/>
      <c r="AN24" s="68"/>
      <c r="AO24" s="68"/>
      <c r="AP24" s="68"/>
      <c r="AQ24" s="68"/>
      <c r="AR24" s="68"/>
      <c r="AS24" s="68"/>
      <c r="AT24" s="68"/>
      <c r="AU24" s="68"/>
      <c r="AV24" s="68"/>
      <c r="AW24" s="68"/>
      <c r="AX24" s="68"/>
      <c r="AY24" s="68"/>
      <c r="AZ24" s="68"/>
      <c r="BA24" s="68"/>
    </row>
    <row r="25" spans="1:53">
      <c r="A25" s="59">
        <v>12</v>
      </c>
      <c r="B25" s="69" t="s">
        <v>295</v>
      </c>
      <c r="C25" s="61">
        <f t="shared" si="5"/>
        <v>0</v>
      </c>
      <c r="D25" s="62">
        <f t="shared" si="6"/>
        <v>0</v>
      </c>
      <c r="E25" s="62">
        <f t="shared" si="19"/>
        <v>0</v>
      </c>
      <c r="F25" s="62">
        <f t="shared" si="7"/>
        <v>0</v>
      </c>
      <c r="G25" s="62">
        <f t="shared" si="8"/>
        <v>0</v>
      </c>
      <c r="H25" s="62"/>
      <c r="I25" s="62"/>
      <c r="J25" s="62">
        <f t="shared" si="9"/>
        <v>0</v>
      </c>
      <c r="K25" s="62"/>
      <c r="L25" s="62"/>
      <c r="M25" s="62">
        <f t="shared" si="10"/>
        <v>0</v>
      </c>
      <c r="N25" s="62">
        <f t="shared" si="11"/>
        <v>0</v>
      </c>
      <c r="O25" s="63"/>
      <c r="P25" s="62"/>
      <c r="Q25" s="62">
        <f t="shared" si="12"/>
        <v>0</v>
      </c>
      <c r="R25" s="62"/>
      <c r="S25" s="62"/>
      <c r="T25" s="64">
        <f t="shared" si="13"/>
        <v>0</v>
      </c>
      <c r="U25" s="65">
        <f t="shared" si="14"/>
        <v>0</v>
      </c>
      <c r="V25" s="65">
        <f t="shared" si="15"/>
        <v>0</v>
      </c>
      <c r="W25" s="65">
        <f t="shared" si="16"/>
        <v>0</v>
      </c>
      <c r="X25" s="65">
        <f t="shared" si="17"/>
        <v>0</v>
      </c>
      <c r="Y25" s="67"/>
      <c r="Z25" s="67"/>
      <c r="AA25" s="67"/>
      <c r="AB25" s="67"/>
      <c r="AC25" s="67"/>
      <c r="AD25" s="67">
        <f t="shared" ref="AD25:AD34" si="20">AE25+AH25</f>
        <v>0</v>
      </c>
      <c r="AE25" s="67">
        <f t="shared" ref="AE25:AE34" si="21">AF25+AG25</f>
        <v>0</v>
      </c>
      <c r="AF25" s="70"/>
      <c r="AG25" s="67"/>
      <c r="AH25" s="67">
        <f t="shared" si="4"/>
        <v>0</v>
      </c>
      <c r="AI25" s="67"/>
      <c r="AJ25" s="67"/>
      <c r="AK25" s="71"/>
      <c r="AL25" s="68"/>
      <c r="AM25" s="71"/>
      <c r="AN25" s="71"/>
      <c r="AO25" s="71"/>
      <c r="AP25" s="71"/>
      <c r="AQ25" s="71"/>
      <c r="AR25" s="71"/>
      <c r="AS25" s="71"/>
      <c r="AT25" s="71"/>
      <c r="AU25" s="71"/>
      <c r="AV25" s="71"/>
      <c r="AW25" s="71"/>
      <c r="AX25" s="71"/>
      <c r="AY25" s="71"/>
      <c r="AZ25" s="71"/>
      <c r="BA25" s="71"/>
    </row>
    <row r="26" spans="1:53">
      <c r="A26" s="59">
        <v>13</v>
      </c>
      <c r="B26" s="69" t="s">
        <v>296</v>
      </c>
      <c r="C26" s="61">
        <f t="shared" si="5"/>
        <v>0</v>
      </c>
      <c r="D26" s="62">
        <f t="shared" si="6"/>
        <v>0</v>
      </c>
      <c r="E26" s="62">
        <f t="shared" si="19"/>
        <v>0</v>
      </c>
      <c r="F26" s="62">
        <f t="shared" si="7"/>
        <v>0</v>
      </c>
      <c r="G26" s="62">
        <f t="shared" si="8"/>
        <v>0</v>
      </c>
      <c r="H26" s="62"/>
      <c r="I26" s="62"/>
      <c r="J26" s="62">
        <f t="shared" si="9"/>
        <v>0</v>
      </c>
      <c r="K26" s="62"/>
      <c r="L26" s="62"/>
      <c r="M26" s="62">
        <f t="shared" si="10"/>
        <v>0</v>
      </c>
      <c r="N26" s="62">
        <f t="shared" si="11"/>
        <v>0</v>
      </c>
      <c r="O26" s="63"/>
      <c r="P26" s="62"/>
      <c r="Q26" s="62">
        <f t="shared" si="12"/>
        <v>0</v>
      </c>
      <c r="R26" s="62"/>
      <c r="S26" s="62"/>
      <c r="T26" s="64">
        <f t="shared" si="13"/>
        <v>0</v>
      </c>
      <c r="U26" s="65">
        <f t="shared" si="14"/>
        <v>0</v>
      </c>
      <c r="V26" s="65">
        <f t="shared" si="15"/>
        <v>0</v>
      </c>
      <c r="W26" s="65">
        <f t="shared" si="16"/>
        <v>0</v>
      </c>
      <c r="X26" s="65">
        <f t="shared" si="17"/>
        <v>0</v>
      </c>
      <c r="Y26" s="67"/>
      <c r="Z26" s="67"/>
      <c r="AA26" s="67"/>
      <c r="AB26" s="67"/>
      <c r="AC26" s="67"/>
      <c r="AD26" s="67">
        <f t="shared" si="20"/>
        <v>0</v>
      </c>
      <c r="AE26" s="67">
        <f t="shared" si="21"/>
        <v>0</v>
      </c>
      <c r="AF26" s="70"/>
      <c r="AG26" s="67"/>
      <c r="AH26" s="67">
        <f t="shared" si="4"/>
        <v>0</v>
      </c>
      <c r="AI26" s="67"/>
      <c r="AJ26" s="67"/>
      <c r="AK26" s="71"/>
      <c r="AL26" s="68"/>
      <c r="AM26" s="71"/>
      <c r="AN26" s="71"/>
      <c r="AO26" s="71"/>
      <c r="AP26" s="71"/>
      <c r="AQ26" s="71"/>
      <c r="AR26" s="71"/>
      <c r="AS26" s="71"/>
      <c r="AT26" s="71"/>
      <c r="AU26" s="71"/>
      <c r="AV26" s="71"/>
      <c r="AW26" s="71"/>
      <c r="AX26" s="71"/>
      <c r="AY26" s="71"/>
      <c r="AZ26" s="71"/>
      <c r="BA26" s="71"/>
    </row>
    <row r="27" spans="1:53">
      <c r="A27" s="59">
        <v>14</v>
      </c>
      <c r="B27" s="69" t="s">
        <v>297</v>
      </c>
      <c r="C27" s="61">
        <f t="shared" si="5"/>
        <v>0</v>
      </c>
      <c r="D27" s="62">
        <f t="shared" si="6"/>
        <v>0</v>
      </c>
      <c r="E27" s="62">
        <f t="shared" si="19"/>
        <v>0</v>
      </c>
      <c r="F27" s="62">
        <f t="shared" si="7"/>
        <v>0</v>
      </c>
      <c r="G27" s="62">
        <f t="shared" si="8"/>
        <v>0</v>
      </c>
      <c r="H27" s="62"/>
      <c r="I27" s="62"/>
      <c r="J27" s="62">
        <f t="shared" si="9"/>
        <v>0</v>
      </c>
      <c r="K27" s="62"/>
      <c r="L27" s="62"/>
      <c r="M27" s="62">
        <f t="shared" si="10"/>
        <v>0</v>
      </c>
      <c r="N27" s="62">
        <f t="shared" si="11"/>
        <v>0</v>
      </c>
      <c r="O27" s="63"/>
      <c r="P27" s="62"/>
      <c r="Q27" s="62">
        <f t="shared" si="12"/>
        <v>0</v>
      </c>
      <c r="R27" s="62"/>
      <c r="S27" s="62"/>
      <c r="T27" s="64">
        <f t="shared" si="13"/>
        <v>0</v>
      </c>
      <c r="U27" s="65">
        <f t="shared" si="14"/>
        <v>0</v>
      </c>
      <c r="V27" s="65">
        <f t="shared" si="15"/>
        <v>0</v>
      </c>
      <c r="W27" s="65">
        <f t="shared" si="16"/>
        <v>0</v>
      </c>
      <c r="X27" s="65">
        <f t="shared" si="17"/>
        <v>0</v>
      </c>
      <c r="Y27" s="67"/>
      <c r="Z27" s="67"/>
      <c r="AA27" s="67"/>
      <c r="AB27" s="67"/>
      <c r="AC27" s="67"/>
      <c r="AD27" s="67">
        <f t="shared" si="20"/>
        <v>0</v>
      </c>
      <c r="AE27" s="67">
        <f t="shared" si="21"/>
        <v>0</v>
      </c>
      <c r="AF27" s="70"/>
      <c r="AG27" s="67"/>
      <c r="AH27" s="67">
        <f t="shared" si="4"/>
        <v>0</v>
      </c>
      <c r="AI27" s="67"/>
      <c r="AJ27" s="67"/>
      <c r="AK27" s="71"/>
      <c r="AL27" s="68"/>
      <c r="AM27" s="71"/>
      <c r="AN27" s="71"/>
      <c r="AO27" s="71"/>
      <c r="AP27" s="71"/>
      <c r="AQ27" s="71"/>
      <c r="AR27" s="71"/>
      <c r="AS27" s="71"/>
      <c r="AT27" s="71"/>
      <c r="AU27" s="71"/>
      <c r="AV27" s="71"/>
      <c r="AW27" s="71"/>
      <c r="AX27" s="71"/>
      <c r="AY27" s="71"/>
      <c r="AZ27" s="71"/>
      <c r="BA27" s="71"/>
    </row>
    <row r="28" spans="1:53">
      <c r="A28" s="59">
        <v>15</v>
      </c>
      <c r="B28" s="69" t="s">
        <v>302</v>
      </c>
      <c r="C28" s="61">
        <f t="shared" si="5"/>
        <v>0</v>
      </c>
      <c r="D28" s="62">
        <f t="shared" si="6"/>
        <v>0</v>
      </c>
      <c r="E28" s="62">
        <f t="shared" si="19"/>
        <v>0</v>
      </c>
      <c r="F28" s="62">
        <f t="shared" si="7"/>
        <v>0</v>
      </c>
      <c r="G28" s="62">
        <f t="shared" si="8"/>
        <v>0</v>
      </c>
      <c r="H28" s="62"/>
      <c r="I28" s="72"/>
      <c r="J28" s="62">
        <f t="shared" si="9"/>
        <v>0</v>
      </c>
      <c r="K28" s="72"/>
      <c r="L28" s="72"/>
      <c r="M28" s="62">
        <f t="shared" si="10"/>
        <v>0</v>
      </c>
      <c r="N28" s="62">
        <f t="shared" si="11"/>
        <v>0</v>
      </c>
      <c r="O28" s="63"/>
      <c r="P28" s="72"/>
      <c r="Q28" s="62">
        <f t="shared" si="12"/>
        <v>0</v>
      </c>
      <c r="R28" s="72"/>
      <c r="S28" s="72"/>
      <c r="T28" s="64">
        <f t="shared" si="13"/>
        <v>11772.936613999998</v>
      </c>
      <c r="U28" s="65">
        <f t="shared" si="14"/>
        <v>11772.936613999998</v>
      </c>
      <c r="V28" s="65">
        <f t="shared" si="15"/>
        <v>0</v>
      </c>
      <c r="W28" s="65">
        <f t="shared" si="16"/>
        <v>11772.936613999998</v>
      </c>
      <c r="X28" s="65">
        <f t="shared" si="17"/>
        <v>11772.936613999998</v>
      </c>
      <c r="Y28" s="67">
        <v>11772.936613999998</v>
      </c>
      <c r="Z28" s="73"/>
      <c r="AA28" s="73"/>
      <c r="AB28" s="73"/>
      <c r="AC28" s="73"/>
      <c r="AD28" s="67">
        <f t="shared" si="20"/>
        <v>0</v>
      </c>
      <c r="AE28" s="67">
        <f t="shared" si="21"/>
        <v>0</v>
      </c>
      <c r="AF28" s="70"/>
      <c r="AG28" s="73"/>
      <c r="AH28" s="67">
        <f t="shared" si="4"/>
        <v>0</v>
      </c>
      <c r="AI28" s="73"/>
      <c r="AJ28" s="73"/>
      <c r="AK28" s="71"/>
      <c r="AL28" s="68"/>
      <c r="AM28" s="71"/>
      <c r="AN28" s="71"/>
      <c r="AO28" s="71"/>
      <c r="AP28" s="71"/>
      <c r="AQ28" s="71"/>
      <c r="AR28" s="71"/>
      <c r="AS28" s="71"/>
      <c r="AT28" s="71"/>
      <c r="AU28" s="71"/>
      <c r="AV28" s="71"/>
      <c r="AW28" s="71"/>
      <c r="AX28" s="71"/>
      <c r="AY28" s="71"/>
      <c r="AZ28" s="71"/>
      <c r="BA28" s="71"/>
    </row>
    <row r="29" spans="1:53">
      <c r="A29" s="59">
        <v>16</v>
      </c>
      <c r="B29" s="69" t="s">
        <v>298</v>
      </c>
      <c r="C29" s="61">
        <f t="shared" si="5"/>
        <v>0</v>
      </c>
      <c r="D29" s="62">
        <f t="shared" si="6"/>
        <v>0</v>
      </c>
      <c r="E29" s="62">
        <f t="shared" si="19"/>
        <v>0</v>
      </c>
      <c r="F29" s="62">
        <f t="shared" si="7"/>
        <v>0</v>
      </c>
      <c r="G29" s="62">
        <f t="shared" si="8"/>
        <v>0</v>
      </c>
      <c r="H29" s="62"/>
      <c r="I29" s="72"/>
      <c r="J29" s="62">
        <f t="shared" si="9"/>
        <v>0</v>
      </c>
      <c r="K29" s="72"/>
      <c r="L29" s="72"/>
      <c r="M29" s="62">
        <f t="shared" si="10"/>
        <v>0</v>
      </c>
      <c r="N29" s="62">
        <f t="shared" si="11"/>
        <v>0</v>
      </c>
      <c r="O29" s="63"/>
      <c r="P29" s="72"/>
      <c r="Q29" s="62">
        <f t="shared" si="12"/>
        <v>0</v>
      </c>
      <c r="R29" s="72"/>
      <c r="S29" s="72"/>
      <c r="T29" s="64">
        <f t="shared" si="13"/>
        <v>0</v>
      </c>
      <c r="U29" s="65">
        <f t="shared" si="14"/>
        <v>0</v>
      </c>
      <c r="V29" s="65">
        <f t="shared" si="15"/>
        <v>0</v>
      </c>
      <c r="W29" s="65">
        <f t="shared" si="16"/>
        <v>0</v>
      </c>
      <c r="X29" s="65">
        <f t="shared" si="17"/>
        <v>0</v>
      </c>
      <c r="Y29" s="67"/>
      <c r="Z29" s="73"/>
      <c r="AA29" s="73"/>
      <c r="AB29" s="73"/>
      <c r="AC29" s="73"/>
      <c r="AD29" s="67">
        <f t="shared" si="20"/>
        <v>0</v>
      </c>
      <c r="AE29" s="67">
        <f t="shared" si="21"/>
        <v>0</v>
      </c>
      <c r="AF29" s="70"/>
      <c r="AG29" s="73"/>
      <c r="AH29" s="67">
        <f t="shared" si="4"/>
        <v>0</v>
      </c>
      <c r="AI29" s="73"/>
      <c r="AJ29" s="73"/>
      <c r="AK29" s="71"/>
      <c r="AL29" s="68"/>
      <c r="AM29" s="71"/>
      <c r="AN29" s="71"/>
      <c r="AO29" s="71"/>
      <c r="AP29" s="71"/>
      <c r="AQ29" s="71"/>
      <c r="AR29" s="71"/>
      <c r="AS29" s="71"/>
      <c r="AT29" s="71"/>
      <c r="AU29" s="71"/>
      <c r="AV29" s="71"/>
      <c r="AW29" s="71"/>
      <c r="AX29" s="71"/>
      <c r="AY29" s="71"/>
      <c r="AZ29" s="71"/>
      <c r="BA29" s="71"/>
    </row>
    <row r="30" spans="1:53">
      <c r="A30" s="59">
        <v>17</v>
      </c>
      <c r="B30" s="69" t="s">
        <v>299</v>
      </c>
      <c r="C30" s="61">
        <f t="shared" si="5"/>
        <v>0</v>
      </c>
      <c r="D30" s="62">
        <f t="shared" si="6"/>
        <v>0</v>
      </c>
      <c r="E30" s="62">
        <f t="shared" si="19"/>
        <v>0</v>
      </c>
      <c r="F30" s="62">
        <f t="shared" si="7"/>
        <v>0</v>
      </c>
      <c r="G30" s="62">
        <f t="shared" si="8"/>
        <v>0</v>
      </c>
      <c r="H30" s="62"/>
      <c r="I30" s="72"/>
      <c r="J30" s="62">
        <f t="shared" si="9"/>
        <v>0</v>
      </c>
      <c r="K30" s="72"/>
      <c r="L30" s="72"/>
      <c r="M30" s="62">
        <f t="shared" si="10"/>
        <v>0</v>
      </c>
      <c r="N30" s="62">
        <f t="shared" si="11"/>
        <v>0</v>
      </c>
      <c r="O30" s="63"/>
      <c r="P30" s="72"/>
      <c r="Q30" s="62">
        <f t="shared" si="12"/>
        <v>0</v>
      </c>
      <c r="R30" s="72"/>
      <c r="S30" s="72"/>
      <c r="T30" s="64">
        <f t="shared" si="13"/>
        <v>0</v>
      </c>
      <c r="U30" s="65">
        <f t="shared" si="14"/>
        <v>0</v>
      </c>
      <c r="V30" s="65">
        <f t="shared" si="15"/>
        <v>0</v>
      </c>
      <c r="W30" s="65">
        <f t="shared" si="16"/>
        <v>0</v>
      </c>
      <c r="X30" s="65">
        <f t="shared" si="17"/>
        <v>0</v>
      </c>
      <c r="Y30" s="67"/>
      <c r="Z30" s="73"/>
      <c r="AA30" s="73"/>
      <c r="AB30" s="73"/>
      <c r="AC30" s="73"/>
      <c r="AD30" s="67">
        <f t="shared" si="20"/>
        <v>0</v>
      </c>
      <c r="AE30" s="67">
        <f t="shared" si="21"/>
        <v>0</v>
      </c>
      <c r="AF30" s="70"/>
      <c r="AG30" s="73"/>
      <c r="AH30" s="67">
        <f t="shared" si="4"/>
        <v>0</v>
      </c>
      <c r="AI30" s="73"/>
      <c r="AJ30" s="73"/>
      <c r="AK30" s="71"/>
      <c r="AL30" s="68"/>
      <c r="AM30" s="71"/>
      <c r="AN30" s="71"/>
      <c r="AO30" s="71"/>
      <c r="AP30" s="71"/>
      <c r="AQ30" s="71"/>
      <c r="AR30" s="71"/>
      <c r="AS30" s="71"/>
      <c r="AT30" s="71"/>
      <c r="AU30" s="71"/>
      <c r="AV30" s="71"/>
      <c r="AW30" s="71"/>
      <c r="AX30" s="71"/>
      <c r="AY30" s="71"/>
      <c r="AZ30" s="71"/>
      <c r="BA30" s="71"/>
    </row>
    <row r="31" spans="1:53">
      <c r="A31" s="59">
        <v>18</v>
      </c>
      <c r="B31" s="69" t="s">
        <v>276</v>
      </c>
      <c r="C31" s="61">
        <f t="shared" si="5"/>
        <v>0</v>
      </c>
      <c r="D31" s="62">
        <f t="shared" si="6"/>
        <v>0</v>
      </c>
      <c r="E31" s="62">
        <f t="shared" si="19"/>
        <v>0</v>
      </c>
      <c r="F31" s="62">
        <f t="shared" si="7"/>
        <v>0</v>
      </c>
      <c r="G31" s="62">
        <f t="shared" si="8"/>
        <v>0</v>
      </c>
      <c r="H31" s="62"/>
      <c r="I31" s="72"/>
      <c r="J31" s="62">
        <f t="shared" si="9"/>
        <v>0</v>
      </c>
      <c r="K31" s="72"/>
      <c r="L31" s="72"/>
      <c r="M31" s="62">
        <f t="shared" si="10"/>
        <v>0</v>
      </c>
      <c r="N31" s="62">
        <f t="shared" si="11"/>
        <v>0</v>
      </c>
      <c r="O31" s="63"/>
      <c r="P31" s="72"/>
      <c r="Q31" s="62">
        <f t="shared" si="12"/>
        <v>0</v>
      </c>
      <c r="R31" s="72"/>
      <c r="S31" s="72"/>
      <c r="T31" s="64">
        <f t="shared" si="13"/>
        <v>0</v>
      </c>
      <c r="U31" s="65">
        <f t="shared" si="14"/>
        <v>0</v>
      </c>
      <c r="V31" s="65">
        <f t="shared" si="15"/>
        <v>0</v>
      </c>
      <c r="W31" s="65">
        <f t="shared" si="16"/>
        <v>0</v>
      </c>
      <c r="X31" s="65">
        <f t="shared" si="17"/>
        <v>0</v>
      </c>
      <c r="Y31" s="67"/>
      <c r="Z31" s="73"/>
      <c r="AA31" s="73"/>
      <c r="AB31" s="73"/>
      <c r="AC31" s="73"/>
      <c r="AD31" s="67">
        <f t="shared" si="20"/>
        <v>0</v>
      </c>
      <c r="AE31" s="67">
        <f t="shared" si="21"/>
        <v>0</v>
      </c>
      <c r="AF31" s="70"/>
      <c r="AG31" s="73"/>
      <c r="AH31" s="67">
        <f t="shared" si="4"/>
        <v>0</v>
      </c>
      <c r="AI31" s="73"/>
      <c r="AJ31" s="73"/>
      <c r="AK31" s="74"/>
      <c r="AL31" s="68"/>
      <c r="AM31" s="74"/>
      <c r="AN31" s="74"/>
      <c r="AO31" s="74"/>
      <c r="AP31" s="74"/>
      <c r="AQ31" s="74"/>
      <c r="AR31" s="74"/>
      <c r="AS31" s="74"/>
      <c r="AT31" s="74"/>
      <c r="AU31" s="74"/>
      <c r="AV31" s="74"/>
      <c r="AW31" s="74"/>
      <c r="AX31" s="74"/>
      <c r="AY31" s="74"/>
      <c r="AZ31" s="74"/>
      <c r="BA31" s="74"/>
    </row>
    <row r="32" spans="1:53">
      <c r="A32" s="59">
        <v>19</v>
      </c>
      <c r="B32" s="69" t="s">
        <v>301</v>
      </c>
      <c r="C32" s="61">
        <f t="shared" si="5"/>
        <v>0</v>
      </c>
      <c r="D32" s="62">
        <f t="shared" si="6"/>
        <v>0</v>
      </c>
      <c r="E32" s="62">
        <f t="shared" si="19"/>
        <v>0</v>
      </c>
      <c r="F32" s="62">
        <f t="shared" si="7"/>
        <v>0</v>
      </c>
      <c r="G32" s="62">
        <f t="shared" si="8"/>
        <v>0</v>
      </c>
      <c r="H32" s="62"/>
      <c r="I32" s="72"/>
      <c r="J32" s="62">
        <f t="shared" si="9"/>
        <v>0</v>
      </c>
      <c r="K32" s="72"/>
      <c r="L32" s="72"/>
      <c r="M32" s="62">
        <f t="shared" si="10"/>
        <v>0</v>
      </c>
      <c r="N32" s="62">
        <f t="shared" si="11"/>
        <v>0</v>
      </c>
      <c r="O32" s="63"/>
      <c r="P32" s="72"/>
      <c r="Q32" s="62">
        <f t="shared" si="12"/>
        <v>0</v>
      </c>
      <c r="R32" s="72"/>
      <c r="S32" s="72"/>
      <c r="T32" s="64">
        <f t="shared" si="13"/>
        <v>23495.892952999999</v>
      </c>
      <c r="U32" s="65">
        <f t="shared" si="14"/>
        <v>23495.892952999999</v>
      </c>
      <c r="V32" s="65">
        <f t="shared" si="15"/>
        <v>0</v>
      </c>
      <c r="W32" s="65">
        <f t="shared" si="16"/>
        <v>23495.892952999999</v>
      </c>
      <c r="X32" s="65">
        <f t="shared" si="17"/>
        <v>23495.892952999999</v>
      </c>
      <c r="Y32" s="67">
        <v>23495.892952999999</v>
      </c>
      <c r="Z32" s="73"/>
      <c r="AA32" s="73"/>
      <c r="AB32" s="73"/>
      <c r="AC32" s="73"/>
      <c r="AD32" s="67">
        <f t="shared" si="20"/>
        <v>0</v>
      </c>
      <c r="AE32" s="67">
        <f t="shared" si="21"/>
        <v>0</v>
      </c>
      <c r="AF32" s="70"/>
      <c r="AG32" s="73"/>
      <c r="AH32" s="67">
        <f t="shared" si="4"/>
        <v>0</v>
      </c>
      <c r="AI32" s="73"/>
      <c r="AJ32" s="73"/>
      <c r="AK32" s="68"/>
      <c r="AL32" s="68"/>
      <c r="AM32" s="68"/>
      <c r="AN32" s="68"/>
      <c r="AO32" s="68"/>
      <c r="AP32" s="68"/>
      <c r="AQ32" s="68"/>
      <c r="AR32" s="68"/>
      <c r="AS32" s="68"/>
      <c r="AT32" s="68"/>
      <c r="AU32" s="68"/>
      <c r="AV32" s="68"/>
      <c r="AW32" s="68"/>
      <c r="AX32" s="68"/>
      <c r="AY32" s="68"/>
      <c r="AZ32" s="68"/>
      <c r="BA32" s="68"/>
    </row>
    <row r="33" spans="1:55">
      <c r="A33" s="59">
        <v>20</v>
      </c>
      <c r="B33" s="69" t="s">
        <v>300</v>
      </c>
      <c r="C33" s="61">
        <f t="shared" si="5"/>
        <v>0</v>
      </c>
      <c r="D33" s="62">
        <f t="shared" si="6"/>
        <v>0</v>
      </c>
      <c r="E33" s="62">
        <f t="shared" si="19"/>
        <v>0</v>
      </c>
      <c r="F33" s="62">
        <f t="shared" si="7"/>
        <v>0</v>
      </c>
      <c r="G33" s="62">
        <f t="shared" si="8"/>
        <v>0</v>
      </c>
      <c r="H33" s="62"/>
      <c r="I33" s="72"/>
      <c r="J33" s="62">
        <f t="shared" si="9"/>
        <v>0</v>
      </c>
      <c r="K33" s="72"/>
      <c r="L33" s="72"/>
      <c r="M33" s="62">
        <f t="shared" si="10"/>
        <v>0</v>
      </c>
      <c r="N33" s="62">
        <f t="shared" si="11"/>
        <v>0</v>
      </c>
      <c r="O33" s="63"/>
      <c r="P33" s="72"/>
      <c r="Q33" s="62">
        <f t="shared" si="12"/>
        <v>0</v>
      </c>
      <c r="R33" s="72"/>
      <c r="S33" s="72"/>
      <c r="T33" s="64">
        <f t="shared" si="13"/>
        <v>1301.7779020000012</v>
      </c>
      <c r="U33" s="65">
        <f t="shared" si="14"/>
        <v>1301.7779020000012</v>
      </c>
      <c r="V33" s="65">
        <f t="shared" si="15"/>
        <v>0</v>
      </c>
      <c r="W33" s="65">
        <f t="shared" si="16"/>
        <v>1301.7779020000012</v>
      </c>
      <c r="X33" s="65">
        <f t="shared" si="17"/>
        <v>1301.7779020000012</v>
      </c>
      <c r="Y33" s="67">
        <v>1301.7779020000012</v>
      </c>
      <c r="Z33" s="73"/>
      <c r="AA33" s="73"/>
      <c r="AB33" s="73"/>
      <c r="AC33" s="73"/>
      <c r="AD33" s="67">
        <f t="shared" si="20"/>
        <v>0</v>
      </c>
      <c r="AE33" s="67">
        <f t="shared" si="21"/>
        <v>0</v>
      </c>
      <c r="AF33" s="70"/>
      <c r="AG33" s="73"/>
      <c r="AH33" s="67">
        <f t="shared" si="4"/>
        <v>0</v>
      </c>
      <c r="AI33" s="73"/>
      <c r="AJ33" s="73"/>
      <c r="AK33" s="68"/>
      <c r="AL33" s="68"/>
      <c r="AM33" s="68"/>
      <c r="AN33" s="68"/>
      <c r="AO33" s="68"/>
      <c r="AP33" s="68"/>
      <c r="AQ33" s="68"/>
      <c r="AR33" s="68"/>
      <c r="AS33" s="68"/>
      <c r="AT33" s="68"/>
      <c r="AU33" s="68"/>
      <c r="AV33" s="68"/>
      <c r="AW33" s="68"/>
      <c r="AX33" s="68"/>
      <c r="AY33" s="68"/>
      <c r="AZ33" s="68"/>
      <c r="BA33" s="68"/>
    </row>
    <row r="34" spans="1:55">
      <c r="A34" s="59">
        <v>21</v>
      </c>
      <c r="B34" s="60" t="s">
        <v>562</v>
      </c>
      <c r="C34" s="61">
        <f t="shared" si="5"/>
        <v>0</v>
      </c>
      <c r="D34" s="62">
        <f t="shared" si="6"/>
        <v>0</v>
      </c>
      <c r="E34" s="62">
        <f t="shared" si="19"/>
        <v>0</v>
      </c>
      <c r="F34" s="62">
        <f t="shared" si="7"/>
        <v>0</v>
      </c>
      <c r="G34" s="62">
        <f t="shared" si="8"/>
        <v>0</v>
      </c>
      <c r="H34" s="62"/>
      <c r="I34" s="72"/>
      <c r="J34" s="62">
        <f t="shared" si="9"/>
        <v>0</v>
      </c>
      <c r="K34" s="72"/>
      <c r="L34" s="72"/>
      <c r="M34" s="62">
        <f t="shared" si="10"/>
        <v>0</v>
      </c>
      <c r="N34" s="62">
        <f t="shared" si="11"/>
        <v>0</v>
      </c>
      <c r="O34" s="63"/>
      <c r="P34" s="72"/>
      <c r="Q34" s="62">
        <f t="shared" si="12"/>
        <v>0</v>
      </c>
      <c r="R34" s="72"/>
      <c r="S34" s="72"/>
      <c r="T34" s="64">
        <f t="shared" si="13"/>
        <v>0</v>
      </c>
      <c r="U34" s="65">
        <f t="shared" si="14"/>
        <v>0</v>
      </c>
      <c r="V34" s="65">
        <f t="shared" si="15"/>
        <v>0</v>
      </c>
      <c r="W34" s="65">
        <f t="shared" si="16"/>
        <v>0</v>
      </c>
      <c r="X34" s="65">
        <f t="shared" si="17"/>
        <v>0</v>
      </c>
      <c r="Y34" s="67"/>
      <c r="Z34" s="73"/>
      <c r="AA34" s="73"/>
      <c r="AB34" s="73"/>
      <c r="AC34" s="73"/>
      <c r="AD34" s="67">
        <f t="shared" si="20"/>
        <v>0</v>
      </c>
      <c r="AE34" s="67">
        <f t="shared" si="21"/>
        <v>0</v>
      </c>
      <c r="AF34" s="70"/>
      <c r="AG34" s="73"/>
      <c r="AH34" s="67">
        <f t="shared" si="4"/>
        <v>0</v>
      </c>
      <c r="AI34" s="73"/>
      <c r="AJ34" s="73"/>
      <c r="AK34" s="68"/>
      <c r="AL34" s="68"/>
      <c r="AM34" s="68"/>
      <c r="AN34" s="68"/>
      <c r="AO34" s="68"/>
      <c r="AP34" s="68"/>
      <c r="AQ34" s="68"/>
      <c r="AR34" s="68"/>
      <c r="AS34" s="68"/>
      <c r="AT34" s="68"/>
      <c r="AU34" s="68"/>
      <c r="AV34" s="68"/>
      <c r="AW34" s="68"/>
      <c r="AX34" s="68"/>
      <c r="AY34" s="68"/>
      <c r="AZ34" s="68"/>
      <c r="BA34" s="68"/>
    </row>
    <row r="35" spans="1:55" s="76" customFormat="1" ht="14.25">
      <c r="A35" s="57" t="s">
        <v>33</v>
      </c>
      <c r="B35" s="75" t="s">
        <v>304</v>
      </c>
      <c r="C35" s="37">
        <f t="shared" ref="C35:AJ35" si="22">SUBTOTAL(9,C36:C46)</f>
        <v>0</v>
      </c>
      <c r="D35" s="54">
        <f t="shared" si="22"/>
        <v>0</v>
      </c>
      <c r="E35" s="54">
        <f t="shared" si="22"/>
        <v>0</v>
      </c>
      <c r="F35" s="54">
        <f t="shared" si="22"/>
        <v>0</v>
      </c>
      <c r="G35" s="54">
        <f t="shared" si="22"/>
        <v>0</v>
      </c>
      <c r="H35" s="54">
        <f t="shared" si="22"/>
        <v>0</v>
      </c>
      <c r="I35" s="54">
        <f t="shared" si="22"/>
        <v>0</v>
      </c>
      <c r="J35" s="54">
        <f t="shared" si="22"/>
        <v>0</v>
      </c>
      <c r="K35" s="54">
        <f t="shared" si="22"/>
        <v>0</v>
      </c>
      <c r="L35" s="54">
        <f t="shared" si="22"/>
        <v>0</v>
      </c>
      <c r="M35" s="54">
        <f t="shared" si="22"/>
        <v>0</v>
      </c>
      <c r="N35" s="54">
        <f t="shared" si="22"/>
        <v>0</v>
      </c>
      <c r="O35" s="54">
        <f t="shared" si="22"/>
        <v>0</v>
      </c>
      <c r="P35" s="54">
        <f t="shared" si="22"/>
        <v>0</v>
      </c>
      <c r="Q35" s="54">
        <f t="shared" si="22"/>
        <v>0</v>
      </c>
      <c r="R35" s="54">
        <f t="shared" si="22"/>
        <v>0</v>
      </c>
      <c r="S35" s="54">
        <f t="shared" si="22"/>
        <v>0</v>
      </c>
      <c r="T35" s="55">
        <f t="shared" si="22"/>
        <v>6737.8250000000007</v>
      </c>
      <c r="U35" s="55">
        <f t="shared" si="22"/>
        <v>2434.8149999999996</v>
      </c>
      <c r="V35" s="55">
        <f t="shared" si="22"/>
        <v>4303.01</v>
      </c>
      <c r="W35" s="55">
        <f t="shared" si="22"/>
        <v>130.09599999999949</v>
      </c>
      <c r="X35" s="54">
        <f t="shared" si="22"/>
        <v>130.09599999999949</v>
      </c>
      <c r="Y35" s="54">
        <f t="shared" si="22"/>
        <v>130.09599999999949</v>
      </c>
      <c r="Z35" s="54">
        <f t="shared" si="22"/>
        <v>0</v>
      </c>
      <c r="AA35" s="55">
        <f t="shared" si="22"/>
        <v>0</v>
      </c>
      <c r="AB35" s="55">
        <f t="shared" si="22"/>
        <v>0</v>
      </c>
      <c r="AC35" s="55">
        <f t="shared" si="22"/>
        <v>0</v>
      </c>
      <c r="AD35" s="55">
        <f t="shared" si="22"/>
        <v>6607.7290000000003</v>
      </c>
      <c r="AE35" s="55">
        <f t="shared" si="22"/>
        <v>2304.7190000000001</v>
      </c>
      <c r="AF35" s="55">
        <f t="shared" si="22"/>
        <v>2304.7190000000001</v>
      </c>
      <c r="AG35" s="55">
        <f t="shared" si="22"/>
        <v>0</v>
      </c>
      <c r="AH35" s="55">
        <f t="shared" si="22"/>
        <v>4303.01</v>
      </c>
      <c r="AI35" s="55">
        <f t="shared" si="22"/>
        <v>4303.01</v>
      </c>
      <c r="AJ35" s="55">
        <f t="shared" si="22"/>
        <v>0</v>
      </c>
      <c r="AK35" s="56"/>
      <c r="AL35" s="56"/>
      <c r="AM35" s="56"/>
      <c r="AN35" s="56"/>
      <c r="AO35" s="56"/>
      <c r="AP35" s="56"/>
      <c r="AQ35" s="56"/>
      <c r="AR35" s="56"/>
      <c r="AS35" s="56"/>
      <c r="AT35" s="56"/>
      <c r="AU35" s="56"/>
      <c r="AV35" s="56"/>
      <c r="AW35" s="56"/>
      <c r="AX35" s="56"/>
      <c r="AY35" s="56"/>
      <c r="AZ35" s="56"/>
      <c r="BA35" s="56"/>
    </row>
    <row r="36" spans="1:55">
      <c r="A36" s="59">
        <v>1</v>
      </c>
      <c r="B36" s="69" t="s">
        <v>481</v>
      </c>
      <c r="C36" s="61">
        <f>D36+E36</f>
        <v>0</v>
      </c>
      <c r="D36" s="62">
        <f>G36+N36</f>
        <v>0</v>
      </c>
      <c r="E36" s="62">
        <f>J36+Q36</f>
        <v>0</v>
      </c>
      <c r="F36" s="62">
        <f>G36+J36</f>
        <v>0</v>
      </c>
      <c r="G36" s="62">
        <f>H36+I36</f>
        <v>0</v>
      </c>
      <c r="H36" s="62"/>
      <c r="I36" s="62"/>
      <c r="J36" s="62">
        <f>K36+L36</f>
        <v>0</v>
      </c>
      <c r="K36" s="62"/>
      <c r="L36" s="62"/>
      <c r="M36" s="62">
        <f>N36+Q36</f>
        <v>0</v>
      </c>
      <c r="N36" s="62">
        <f>O36+P36</f>
        <v>0</v>
      </c>
      <c r="O36" s="62"/>
      <c r="P36" s="62"/>
      <c r="Q36" s="62">
        <f>R36+S36</f>
        <v>0</v>
      </c>
      <c r="R36" s="62"/>
      <c r="S36" s="62"/>
      <c r="T36" s="64">
        <f t="shared" ref="T36:T45" si="23">U36+V36</f>
        <v>1955.7729999999999</v>
      </c>
      <c r="U36" s="65">
        <f>X36+AE36</f>
        <v>350</v>
      </c>
      <c r="V36" s="65">
        <f>AA36+AH36</f>
        <v>1605.7729999999999</v>
      </c>
      <c r="W36" s="65">
        <f t="shared" ref="W36:W45" si="24">X36+AA36</f>
        <v>0</v>
      </c>
      <c r="X36" s="62">
        <f>Y36+Z36</f>
        <v>0</v>
      </c>
      <c r="Y36" s="62"/>
      <c r="Z36" s="62"/>
      <c r="AA36" s="67">
        <f>AB36+AC36</f>
        <v>0</v>
      </c>
      <c r="AB36" s="62"/>
      <c r="AC36" s="67"/>
      <c r="AD36" s="67">
        <f>AE36+AH36</f>
        <v>1955.7729999999999</v>
      </c>
      <c r="AE36" s="67">
        <f>AF36+AG36</f>
        <v>350</v>
      </c>
      <c r="AF36" s="70">
        <v>350</v>
      </c>
      <c r="AG36" s="67"/>
      <c r="AH36" s="67">
        <f>AI36+AJ36</f>
        <v>1605.7729999999999</v>
      </c>
      <c r="AI36" s="67">
        <v>1605.7729999999999</v>
      </c>
      <c r="AJ36" s="67">
        <v>0</v>
      </c>
      <c r="AK36" s="68"/>
      <c r="AL36" s="68"/>
      <c r="AM36" s="68"/>
      <c r="AN36" s="68"/>
      <c r="AO36" s="68"/>
      <c r="AP36" s="68"/>
      <c r="AQ36" s="68"/>
      <c r="AR36" s="68"/>
      <c r="AS36" s="68"/>
      <c r="AT36" s="68"/>
      <c r="AU36" s="68"/>
      <c r="AV36" s="68"/>
      <c r="AW36" s="68"/>
      <c r="AX36" s="68"/>
      <c r="AY36" s="68"/>
      <c r="AZ36" s="68"/>
      <c r="BA36" s="68"/>
      <c r="BC36" s="48"/>
    </row>
    <row r="37" spans="1:55">
      <c r="A37" s="59">
        <v>2</v>
      </c>
      <c r="B37" s="69" t="s">
        <v>295</v>
      </c>
      <c r="C37" s="61">
        <f t="shared" ref="C37:C45" si="25">D37+E37</f>
        <v>0</v>
      </c>
      <c r="D37" s="62">
        <f t="shared" ref="D37:D45" si="26">G37+N37</f>
        <v>0</v>
      </c>
      <c r="E37" s="62">
        <f t="shared" ref="E37:E45" si="27">J37+Q37</f>
        <v>0</v>
      </c>
      <c r="F37" s="62">
        <f t="shared" ref="F37:F45" si="28">G37+J37</f>
        <v>0</v>
      </c>
      <c r="G37" s="62">
        <f t="shared" ref="G37:G45" si="29">H37+I37</f>
        <v>0</v>
      </c>
      <c r="H37" s="62"/>
      <c r="I37" s="62"/>
      <c r="J37" s="62">
        <f t="shared" ref="J37:J45" si="30">K37+L37</f>
        <v>0</v>
      </c>
      <c r="K37" s="62"/>
      <c r="L37" s="62"/>
      <c r="M37" s="62">
        <f t="shared" ref="M37:M45" si="31">N37+Q37</f>
        <v>0</v>
      </c>
      <c r="N37" s="62">
        <f t="shared" ref="N37:N45" si="32">O37+P37</f>
        <v>0</v>
      </c>
      <c r="O37" s="62"/>
      <c r="P37" s="62"/>
      <c r="Q37" s="62">
        <f t="shared" ref="Q37:Q45" si="33">R37+S37</f>
        <v>0</v>
      </c>
      <c r="R37" s="62"/>
      <c r="S37" s="62"/>
      <c r="T37" s="64">
        <f t="shared" si="23"/>
        <v>801.5</v>
      </c>
      <c r="U37" s="65">
        <f t="shared" ref="U37:U45" si="34">X37+AE37</f>
        <v>213.7</v>
      </c>
      <c r="V37" s="65">
        <f t="shared" ref="V37:V45" si="35">AA37+AH37</f>
        <v>587.79999999999995</v>
      </c>
      <c r="W37" s="65">
        <f t="shared" si="24"/>
        <v>0</v>
      </c>
      <c r="X37" s="62">
        <f t="shared" ref="X37:X45" si="36">Y37+Z37</f>
        <v>0</v>
      </c>
      <c r="Y37" s="62"/>
      <c r="Z37" s="62"/>
      <c r="AA37" s="67">
        <f t="shared" ref="AA37:AA45" si="37">AB37+AC37</f>
        <v>0</v>
      </c>
      <c r="AB37" s="62"/>
      <c r="AC37" s="67"/>
      <c r="AD37" s="67">
        <f t="shared" ref="AD37:AD45" si="38">AE37+AH37</f>
        <v>801.5</v>
      </c>
      <c r="AE37" s="67">
        <f t="shared" ref="AE37:AE45" si="39">AF37+AG37</f>
        <v>213.7</v>
      </c>
      <c r="AF37" s="70">
        <v>213.7</v>
      </c>
      <c r="AG37" s="67"/>
      <c r="AH37" s="67">
        <f t="shared" ref="AH37:AH45" si="40">AI37+AJ37</f>
        <v>587.79999999999995</v>
      </c>
      <c r="AI37" s="67">
        <v>587.79999999999995</v>
      </c>
      <c r="AJ37" s="67">
        <v>0</v>
      </c>
      <c r="AK37" s="68"/>
      <c r="AL37" s="68"/>
      <c r="AM37" s="68"/>
      <c r="AN37" s="68"/>
      <c r="AO37" s="68"/>
      <c r="AP37" s="68"/>
      <c r="AQ37" s="68"/>
      <c r="AR37" s="68"/>
      <c r="AS37" s="68"/>
      <c r="AT37" s="68"/>
      <c r="AU37" s="68"/>
      <c r="AV37" s="68"/>
      <c r="AW37" s="68"/>
      <c r="AX37" s="68"/>
      <c r="AY37" s="68"/>
      <c r="AZ37" s="68"/>
      <c r="BA37" s="68"/>
      <c r="BC37" s="48"/>
    </row>
    <row r="38" spans="1:55">
      <c r="A38" s="59">
        <v>3</v>
      </c>
      <c r="B38" s="69" t="s">
        <v>296</v>
      </c>
      <c r="C38" s="61">
        <f t="shared" si="25"/>
        <v>0</v>
      </c>
      <c r="D38" s="62">
        <f t="shared" si="26"/>
        <v>0</v>
      </c>
      <c r="E38" s="62">
        <f t="shared" si="27"/>
        <v>0</v>
      </c>
      <c r="F38" s="62">
        <f t="shared" si="28"/>
        <v>0</v>
      </c>
      <c r="G38" s="62">
        <f t="shared" si="29"/>
        <v>0</v>
      </c>
      <c r="H38" s="62"/>
      <c r="I38" s="62"/>
      <c r="J38" s="62">
        <f t="shared" si="30"/>
        <v>0</v>
      </c>
      <c r="K38" s="62"/>
      <c r="L38" s="62"/>
      <c r="M38" s="62">
        <f t="shared" si="31"/>
        <v>0</v>
      </c>
      <c r="N38" s="62">
        <f t="shared" si="32"/>
        <v>0</v>
      </c>
      <c r="O38" s="62"/>
      <c r="P38" s="62"/>
      <c r="Q38" s="62">
        <f t="shared" si="33"/>
        <v>0</v>
      </c>
      <c r="R38" s="62"/>
      <c r="S38" s="62"/>
      <c r="T38" s="64">
        <f t="shared" si="23"/>
        <v>377.291</v>
      </c>
      <c r="U38" s="65">
        <f t="shared" si="34"/>
        <v>60.291000000000004</v>
      </c>
      <c r="V38" s="65">
        <f t="shared" si="35"/>
        <v>317</v>
      </c>
      <c r="W38" s="65">
        <f t="shared" si="24"/>
        <v>7.5819999999999999</v>
      </c>
      <c r="X38" s="62">
        <f t="shared" si="36"/>
        <v>7.5819999999999999</v>
      </c>
      <c r="Y38" s="62">
        <v>7.5819999999999999</v>
      </c>
      <c r="Z38" s="62"/>
      <c r="AA38" s="67">
        <f t="shared" si="37"/>
        <v>0</v>
      </c>
      <c r="AB38" s="62"/>
      <c r="AC38" s="67"/>
      <c r="AD38" s="67">
        <f t="shared" si="38"/>
        <v>369.709</v>
      </c>
      <c r="AE38" s="67">
        <f t="shared" si="39"/>
        <v>52.709000000000003</v>
      </c>
      <c r="AF38" s="70">
        <v>52.709000000000003</v>
      </c>
      <c r="AG38" s="67"/>
      <c r="AH38" s="67">
        <f t="shared" si="40"/>
        <v>317</v>
      </c>
      <c r="AI38" s="67">
        <v>317</v>
      </c>
      <c r="AJ38" s="67">
        <v>0</v>
      </c>
      <c r="AK38" s="68"/>
      <c r="AL38" s="68"/>
      <c r="AM38" s="68"/>
      <c r="AN38" s="68"/>
      <c r="AO38" s="68"/>
      <c r="AP38" s="68"/>
      <c r="AQ38" s="68"/>
      <c r="AR38" s="68"/>
      <c r="AS38" s="68"/>
      <c r="AT38" s="68"/>
      <c r="AU38" s="68"/>
      <c r="AV38" s="68"/>
      <c r="AW38" s="68"/>
      <c r="AX38" s="68"/>
      <c r="AY38" s="68"/>
      <c r="AZ38" s="68"/>
      <c r="BA38" s="68"/>
      <c r="BC38" s="48"/>
    </row>
    <row r="39" spans="1:55">
      <c r="A39" s="59">
        <v>4</v>
      </c>
      <c r="B39" s="69" t="s">
        <v>297</v>
      </c>
      <c r="C39" s="61">
        <f t="shared" si="25"/>
        <v>0</v>
      </c>
      <c r="D39" s="62">
        <f t="shared" si="26"/>
        <v>0</v>
      </c>
      <c r="E39" s="62">
        <f t="shared" si="27"/>
        <v>0</v>
      </c>
      <c r="F39" s="62">
        <f t="shared" si="28"/>
        <v>0</v>
      </c>
      <c r="G39" s="62">
        <f t="shared" si="29"/>
        <v>0</v>
      </c>
      <c r="H39" s="62"/>
      <c r="I39" s="62"/>
      <c r="J39" s="62">
        <f t="shared" si="30"/>
        <v>0</v>
      </c>
      <c r="K39" s="62"/>
      <c r="L39" s="62"/>
      <c r="M39" s="62">
        <f t="shared" si="31"/>
        <v>0</v>
      </c>
      <c r="N39" s="62">
        <f t="shared" si="32"/>
        <v>0</v>
      </c>
      <c r="O39" s="62"/>
      <c r="P39" s="62"/>
      <c r="Q39" s="62">
        <f t="shared" si="33"/>
        <v>0</v>
      </c>
      <c r="R39" s="62"/>
      <c r="S39" s="62"/>
      <c r="T39" s="64">
        <f t="shared" si="23"/>
        <v>886.17000000000007</v>
      </c>
      <c r="U39" s="65">
        <f t="shared" si="34"/>
        <v>145.17000000000002</v>
      </c>
      <c r="V39" s="65">
        <f t="shared" si="35"/>
        <v>741</v>
      </c>
      <c r="W39" s="65">
        <f t="shared" si="24"/>
        <v>2.4119999999999999</v>
      </c>
      <c r="X39" s="62">
        <f t="shared" si="36"/>
        <v>2.4119999999999999</v>
      </c>
      <c r="Y39" s="62">
        <v>2.4119999999999999</v>
      </c>
      <c r="Z39" s="62"/>
      <c r="AA39" s="67">
        <f t="shared" si="37"/>
        <v>0</v>
      </c>
      <c r="AB39" s="62"/>
      <c r="AC39" s="67"/>
      <c r="AD39" s="67">
        <f t="shared" si="38"/>
        <v>883.75800000000004</v>
      </c>
      <c r="AE39" s="67">
        <f t="shared" si="39"/>
        <v>142.75800000000001</v>
      </c>
      <c r="AF39" s="70">
        <v>142.75800000000001</v>
      </c>
      <c r="AG39" s="67"/>
      <c r="AH39" s="67">
        <f t="shared" si="40"/>
        <v>741</v>
      </c>
      <c r="AI39" s="67">
        <v>741</v>
      </c>
      <c r="AJ39" s="67"/>
      <c r="AK39" s="68"/>
      <c r="AL39" s="68"/>
      <c r="AM39" s="68"/>
      <c r="AN39" s="68"/>
      <c r="AO39" s="68"/>
      <c r="AP39" s="68"/>
      <c r="AQ39" s="68"/>
      <c r="AR39" s="68"/>
      <c r="AS39" s="68"/>
      <c r="AT39" s="68"/>
      <c r="AU39" s="68"/>
      <c r="AV39" s="68"/>
      <c r="AW39" s="68"/>
      <c r="AX39" s="68"/>
      <c r="AY39" s="68"/>
      <c r="AZ39" s="68"/>
      <c r="BA39" s="68"/>
    </row>
    <row r="40" spans="1:55">
      <c r="A40" s="59">
        <v>5</v>
      </c>
      <c r="B40" s="69" t="s">
        <v>302</v>
      </c>
      <c r="C40" s="61">
        <f t="shared" si="25"/>
        <v>0</v>
      </c>
      <c r="D40" s="62">
        <f t="shared" si="26"/>
        <v>0</v>
      </c>
      <c r="E40" s="62">
        <f t="shared" si="27"/>
        <v>0</v>
      </c>
      <c r="F40" s="62">
        <f t="shared" si="28"/>
        <v>0</v>
      </c>
      <c r="G40" s="62">
        <f t="shared" si="29"/>
        <v>0</v>
      </c>
      <c r="H40" s="62"/>
      <c r="I40" s="72"/>
      <c r="J40" s="62">
        <f t="shared" si="30"/>
        <v>0</v>
      </c>
      <c r="K40" s="62"/>
      <c r="L40" s="72"/>
      <c r="M40" s="62">
        <f t="shared" si="31"/>
        <v>0</v>
      </c>
      <c r="N40" s="62">
        <f t="shared" si="32"/>
        <v>0</v>
      </c>
      <c r="O40" s="62"/>
      <c r="P40" s="72"/>
      <c r="Q40" s="62">
        <f t="shared" si="33"/>
        <v>0</v>
      </c>
      <c r="R40" s="62"/>
      <c r="S40" s="72"/>
      <c r="T40" s="64">
        <f t="shared" si="23"/>
        <v>106.40999999999948</v>
      </c>
      <c r="U40" s="65">
        <f t="shared" si="34"/>
        <v>106.40999999999948</v>
      </c>
      <c r="V40" s="65">
        <f t="shared" si="35"/>
        <v>0</v>
      </c>
      <c r="W40" s="65">
        <f t="shared" si="24"/>
        <v>82.559999999999491</v>
      </c>
      <c r="X40" s="62">
        <f t="shared" si="36"/>
        <v>82.559999999999491</v>
      </c>
      <c r="Y40" s="62">
        <v>82.559999999999491</v>
      </c>
      <c r="Z40" s="72"/>
      <c r="AA40" s="67">
        <f t="shared" si="37"/>
        <v>0</v>
      </c>
      <c r="AB40" s="73"/>
      <c r="AC40" s="73"/>
      <c r="AD40" s="67">
        <f t="shared" si="38"/>
        <v>23.85</v>
      </c>
      <c r="AE40" s="67">
        <f t="shared" si="39"/>
        <v>23.85</v>
      </c>
      <c r="AF40" s="70">
        <v>23.85</v>
      </c>
      <c r="AG40" s="73"/>
      <c r="AH40" s="67">
        <f t="shared" si="40"/>
        <v>0</v>
      </c>
      <c r="AI40" s="73"/>
      <c r="AJ40" s="73"/>
      <c r="AK40" s="68"/>
      <c r="AL40" s="68"/>
      <c r="AM40" s="68"/>
      <c r="AN40" s="68"/>
      <c r="AO40" s="68"/>
      <c r="AP40" s="68"/>
      <c r="AQ40" s="68"/>
      <c r="AR40" s="68"/>
      <c r="AS40" s="68"/>
      <c r="AT40" s="68"/>
      <c r="AU40" s="68"/>
      <c r="AV40" s="68"/>
      <c r="AW40" s="68"/>
      <c r="AX40" s="68"/>
      <c r="AY40" s="68"/>
      <c r="AZ40" s="68"/>
      <c r="BA40" s="68"/>
    </row>
    <row r="41" spans="1:55">
      <c r="A41" s="59">
        <v>6</v>
      </c>
      <c r="B41" s="69" t="s">
        <v>298</v>
      </c>
      <c r="C41" s="61">
        <f t="shared" si="25"/>
        <v>0</v>
      </c>
      <c r="D41" s="62">
        <f t="shared" si="26"/>
        <v>0</v>
      </c>
      <c r="E41" s="62">
        <f t="shared" si="27"/>
        <v>0</v>
      </c>
      <c r="F41" s="62">
        <f t="shared" si="28"/>
        <v>0</v>
      </c>
      <c r="G41" s="62">
        <f t="shared" si="29"/>
        <v>0</v>
      </c>
      <c r="H41" s="62"/>
      <c r="I41" s="72"/>
      <c r="J41" s="62">
        <f t="shared" si="30"/>
        <v>0</v>
      </c>
      <c r="K41" s="62"/>
      <c r="L41" s="72"/>
      <c r="M41" s="62">
        <f t="shared" si="31"/>
        <v>0</v>
      </c>
      <c r="N41" s="62">
        <f t="shared" si="32"/>
        <v>0</v>
      </c>
      <c r="O41" s="62"/>
      <c r="P41" s="72"/>
      <c r="Q41" s="62">
        <f t="shared" si="33"/>
        <v>0</v>
      </c>
      <c r="R41" s="62"/>
      <c r="S41" s="72"/>
      <c r="T41" s="64">
        <f t="shared" si="23"/>
        <v>240.64</v>
      </c>
      <c r="U41" s="65">
        <f t="shared" si="34"/>
        <v>28.64</v>
      </c>
      <c r="V41" s="65">
        <f t="shared" si="35"/>
        <v>212</v>
      </c>
      <c r="W41" s="65">
        <f t="shared" si="24"/>
        <v>18.14</v>
      </c>
      <c r="X41" s="62">
        <f t="shared" si="36"/>
        <v>18.14</v>
      </c>
      <c r="Y41" s="62">
        <v>18.14</v>
      </c>
      <c r="Z41" s="72"/>
      <c r="AA41" s="67">
        <f t="shared" si="37"/>
        <v>0</v>
      </c>
      <c r="AB41" s="73"/>
      <c r="AC41" s="73"/>
      <c r="AD41" s="67">
        <f t="shared" si="38"/>
        <v>222.5</v>
      </c>
      <c r="AE41" s="67">
        <f t="shared" si="39"/>
        <v>10.5</v>
      </c>
      <c r="AF41" s="70">
        <v>10.5</v>
      </c>
      <c r="AG41" s="73"/>
      <c r="AH41" s="67">
        <f t="shared" si="40"/>
        <v>212</v>
      </c>
      <c r="AI41" s="73">
        <v>212</v>
      </c>
      <c r="AJ41" s="73"/>
      <c r="AK41" s="68"/>
      <c r="AL41" s="68"/>
      <c r="AM41" s="68"/>
      <c r="AN41" s="68"/>
      <c r="AO41" s="68"/>
      <c r="AP41" s="68"/>
      <c r="AQ41" s="68"/>
      <c r="AR41" s="68"/>
      <c r="AS41" s="68"/>
      <c r="AT41" s="68"/>
      <c r="AU41" s="68"/>
      <c r="AV41" s="68"/>
      <c r="AW41" s="68"/>
      <c r="AX41" s="68"/>
      <c r="AY41" s="68"/>
      <c r="AZ41" s="68"/>
      <c r="BA41" s="68"/>
    </row>
    <row r="42" spans="1:55">
      <c r="A42" s="59">
        <v>7</v>
      </c>
      <c r="B42" s="69" t="s">
        <v>299</v>
      </c>
      <c r="C42" s="61">
        <f t="shared" si="25"/>
        <v>0</v>
      </c>
      <c r="D42" s="62">
        <f t="shared" si="26"/>
        <v>0</v>
      </c>
      <c r="E42" s="62">
        <f t="shared" si="27"/>
        <v>0</v>
      </c>
      <c r="F42" s="62">
        <f t="shared" si="28"/>
        <v>0</v>
      </c>
      <c r="G42" s="62">
        <f t="shared" si="29"/>
        <v>0</v>
      </c>
      <c r="H42" s="62"/>
      <c r="I42" s="72"/>
      <c r="J42" s="62">
        <f t="shared" si="30"/>
        <v>0</v>
      </c>
      <c r="K42" s="62"/>
      <c r="L42" s="72"/>
      <c r="M42" s="62">
        <f t="shared" si="31"/>
        <v>0</v>
      </c>
      <c r="N42" s="62">
        <f t="shared" si="32"/>
        <v>0</v>
      </c>
      <c r="O42" s="62"/>
      <c r="P42" s="72"/>
      <c r="Q42" s="62">
        <f t="shared" si="33"/>
        <v>0</v>
      </c>
      <c r="R42" s="62"/>
      <c r="S42" s="72"/>
      <c r="T42" s="64">
        <f t="shared" si="23"/>
        <v>686.29</v>
      </c>
      <c r="U42" s="65">
        <f t="shared" si="34"/>
        <v>370.39299999999997</v>
      </c>
      <c r="V42" s="65">
        <f t="shared" si="35"/>
        <v>315.89699999999999</v>
      </c>
      <c r="W42" s="65">
        <f t="shared" si="24"/>
        <v>19.402000000000001</v>
      </c>
      <c r="X42" s="62">
        <f t="shared" si="36"/>
        <v>19.402000000000001</v>
      </c>
      <c r="Y42" s="62">
        <v>19.402000000000001</v>
      </c>
      <c r="Z42" s="72"/>
      <c r="AA42" s="67">
        <f t="shared" si="37"/>
        <v>0</v>
      </c>
      <c r="AB42" s="73"/>
      <c r="AC42" s="73"/>
      <c r="AD42" s="67">
        <f t="shared" si="38"/>
        <v>666.88799999999992</v>
      </c>
      <c r="AE42" s="67">
        <f t="shared" si="39"/>
        <v>350.99099999999999</v>
      </c>
      <c r="AF42" s="70">
        <v>350.99099999999999</v>
      </c>
      <c r="AG42" s="73"/>
      <c r="AH42" s="67">
        <f t="shared" si="40"/>
        <v>315.89699999999999</v>
      </c>
      <c r="AI42" s="73">
        <v>315.89699999999999</v>
      </c>
      <c r="AJ42" s="73"/>
      <c r="AK42" s="68"/>
      <c r="AL42" s="68"/>
      <c r="AM42" s="68"/>
      <c r="AN42" s="68"/>
      <c r="AO42" s="68"/>
      <c r="AP42" s="68"/>
      <c r="AQ42" s="68"/>
      <c r="AR42" s="68"/>
      <c r="AS42" s="68"/>
      <c r="AT42" s="68"/>
      <c r="AU42" s="68"/>
      <c r="AV42" s="68"/>
      <c r="AW42" s="68"/>
      <c r="AX42" s="68"/>
      <c r="AY42" s="68"/>
      <c r="AZ42" s="68"/>
      <c r="BA42" s="68"/>
    </row>
    <row r="43" spans="1:55">
      <c r="A43" s="59">
        <v>8</v>
      </c>
      <c r="B43" s="69" t="s">
        <v>276</v>
      </c>
      <c r="C43" s="61">
        <f t="shared" si="25"/>
        <v>0</v>
      </c>
      <c r="D43" s="62">
        <f t="shared" si="26"/>
        <v>0</v>
      </c>
      <c r="E43" s="62">
        <f t="shared" si="27"/>
        <v>0</v>
      </c>
      <c r="F43" s="62">
        <f t="shared" si="28"/>
        <v>0</v>
      </c>
      <c r="G43" s="62">
        <f t="shared" si="29"/>
        <v>0</v>
      </c>
      <c r="H43" s="62"/>
      <c r="I43" s="72"/>
      <c r="J43" s="62">
        <f t="shared" si="30"/>
        <v>0</v>
      </c>
      <c r="K43" s="62"/>
      <c r="L43" s="72"/>
      <c r="M43" s="62">
        <f t="shared" si="31"/>
        <v>0</v>
      </c>
      <c r="N43" s="62">
        <f t="shared" si="32"/>
        <v>0</v>
      </c>
      <c r="O43" s="62"/>
      <c r="P43" s="72"/>
      <c r="Q43" s="62">
        <f t="shared" si="33"/>
        <v>0</v>
      </c>
      <c r="R43" s="62"/>
      <c r="S43" s="72"/>
      <c r="T43" s="64">
        <f t="shared" si="23"/>
        <v>316.54000000000002</v>
      </c>
      <c r="U43" s="65">
        <f t="shared" si="34"/>
        <v>0</v>
      </c>
      <c r="V43" s="65">
        <f t="shared" si="35"/>
        <v>316.54000000000002</v>
      </c>
      <c r="W43" s="65">
        <f t="shared" si="24"/>
        <v>0</v>
      </c>
      <c r="X43" s="62">
        <f t="shared" si="36"/>
        <v>0</v>
      </c>
      <c r="Y43" s="62"/>
      <c r="Z43" s="72"/>
      <c r="AA43" s="67">
        <f t="shared" si="37"/>
        <v>0</v>
      </c>
      <c r="AB43" s="73"/>
      <c r="AC43" s="73"/>
      <c r="AD43" s="67">
        <f t="shared" si="38"/>
        <v>316.54000000000002</v>
      </c>
      <c r="AE43" s="67">
        <f t="shared" si="39"/>
        <v>0</v>
      </c>
      <c r="AF43" s="70"/>
      <c r="AG43" s="73"/>
      <c r="AH43" s="67">
        <f t="shared" si="40"/>
        <v>316.54000000000002</v>
      </c>
      <c r="AI43" s="73">
        <v>316.54000000000002</v>
      </c>
      <c r="AJ43" s="73"/>
      <c r="AK43" s="68"/>
      <c r="AL43" s="68"/>
      <c r="AM43" s="68"/>
      <c r="AN43" s="68"/>
      <c r="AO43" s="68"/>
      <c r="AP43" s="68"/>
      <c r="AQ43" s="68"/>
      <c r="AR43" s="68"/>
      <c r="AS43" s="68"/>
      <c r="AT43" s="68"/>
      <c r="AU43" s="68"/>
      <c r="AV43" s="68"/>
      <c r="AW43" s="68"/>
      <c r="AX43" s="68"/>
      <c r="AY43" s="68"/>
      <c r="AZ43" s="68"/>
      <c r="BA43" s="68"/>
      <c r="BC43" s="48"/>
    </row>
    <row r="44" spans="1:55">
      <c r="A44" s="59">
        <v>9</v>
      </c>
      <c r="B44" s="69" t="s">
        <v>301</v>
      </c>
      <c r="C44" s="61">
        <f t="shared" si="25"/>
        <v>0</v>
      </c>
      <c r="D44" s="62">
        <f t="shared" si="26"/>
        <v>0</v>
      </c>
      <c r="E44" s="62">
        <f t="shared" si="27"/>
        <v>0</v>
      </c>
      <c r="F44" s="62">
        <f t="shared" si="28"/>
        <v>0</v>
      </c>
      <c r="G44" s="62">
        <f t="shared" si="29"/>
        <v>0</v>
      </c>
      <c r="H44" s="62"/>
      <c r="I44" s="72"/>
      <c r="J44" s="62">
        <f t="shared" si="30"/>
        <v>0</v>
      </c>
      <c r="K44" s="62"/>
      <c r="L44" s="72"/>
      <c r="M44" s="62">
        <f t="shared" si="31"/>
        <v>0</v>
      </c>
      <c r="N44" s="62">
        <f t="shared" si="32"/>
        <v>0</v>
      </c>
      <c r="O44" s="62"/>
      <c r="P44" s="72"/>
      <c r="Q44" s="62">
        <f t="shared" si="33"/>
        <v>0</v>
      </c>
      <c r="R44" s="62"/>
      <c r="S44" s="72"/>
      <c r="T44" s="64">
        <f t="shared" si="23"/>
        <v>1367.211</v>
      </c>
      <c r="U44" s="65">
        <f t="shared" si="34"/>
        <v>1160.211</v>
      </c>
      <c r="V44" s="65">
        <f t="shared" si="35"/>
        <v>207</v>
      </c>
      <c r="W44" s="65">
        <f t="shared" si="24"/>
        <v>0</v>
      </c>
      <c r="X44" s="62">
        <f t="shared" si="36"/>
        <v>0</v>
      </c>
      <c r="Y44" s="62"/>
      <c r="Z44" s="72"/>
      <c r="AA44" s="67">
        <f t="shared" si="37"/>
        <v>0</v>
      </c>
      <c r="AB44" s="73"/>
      <c r="AC44" s="73"/>
      <c r="AD44" s="67">
        <f t="shared" si="38"/>
        <v>1367.211</v>
      </c>
      <c r="AE44" s="67">
        <f t="shared" si="39"/>
        <v>1160.211</v>
      </c>
      <c r="AF44" s="70">
        <v>1160.211</v>
      </c>
      <c r="AG44" s="73"/>
      <c r="AH44" s="67">
        <f t="shared" si="40"/>
        <v>207</v>
      </c>
      <c r="AI44" s="73">
        <v>207</v>
      </c>
      <c r="AJ44" s="73"/>
      <c r="AK44" s="68"/>
      <c r="AL44" s="68"/>
      <c r="AM44" s="68"/>
      <c r="AN44" s="68"/>
      <c r="AO44" s="68"/>
      <c r="AP44" s="68"/>
      <c r="AQ44" s="68"/>
      <c r="AR44" s="68"/>
      <c r="AS44" s="68"/>
      <c r="AT44" s="68"/>
      <c r="AU44" s="68"/>
      <c r="AV44" s="68"/>
      <c r="AW44" s="68"/>
      <c r="AX44" s="68"/>
      <c r="AY44" s="68"/>
      <c r="AZ44" s="68"/>
      <c r="BA44" s="68"/>
      <c r="BC44" s="48"/>
    </row>
    <row r="45" spans="1:55">
      <c r="A45" s="59">
        <v>10</v>
      </c>
      <c r="B45" s="69" t="s">
        <v>300</v>
      </c>
      <c r="C45" s="61">
        <f t="shared" si="25"/>
        <v>0</v>
      </c>
      <c r="D45" s="62">
        <f t="shared" si="26"/>
        <v>0</v>
      </c>
      <c r="E45" s="62">
        <f t="shared" si="27"/>
        <v>0</v>
      </c>
      <c r="F45" s="62">
        <f t="shared" si="28"/>
        <v>0</v>
      </c>
      <c r="G45" s="62">
        <f t="shared" si="29"/>
        <v>0</v>
      </c>
      <c r="H45" s="62"/>
      <c r="I45" s="72"/>
      <c r="J45" s="62">
        <f t="shared" si="30"/>
        <v>0</v>
      </c>
      <c r="K45" s="62"/>
      <c r="L45" s="72"/>
      <c r="M45" s="62">
        <f t="shared" si="31"/>
        <v>0</v>
      </c>
      <c r="N45" s="62">
        <f t="shared" si="32"/>
        <v>0</v>
      </c>
      <c r="O45" s="62"/>
      <c r="P45" s="72"/>
      <c r="Q45" s="62">
        <f t="shared" si="33"/>
        <v>0</v>
      </c>
      <c r="R45" s="62"/>
      <c r="S45" s="72"/>
      <c r="T45" s="64">
        <f t="shared" si="23"/>
        <v>0</v>
      </c>
      <c r="U45" s="65">
        <f t="shared" si="34"/>
        <v>0</v>
      </c>
      <c r="V45" s="65">
        <f t="shared" si="35"/>
        <v>0</v>
      </c>
      <c r="W45" s="65">
        <f t="shared" si="24"/>
        <v>0</v>
      </c>
      <c r="X45" s="62">
        <f t="shared" si="36"/>
        <v>0</v>
      </c>
      <c r="Y45" s="62"/>
      <c r="Z45" s="72"/>
      <c r="AA45" s="67">
        <f t="shared" si="37"/>
        <v>0</v>
      </c>
      <c r="AB45" s="73"/>
      <c r="AC45" s="73"/>
      <c r="AD45" s="67">
        <f t="shared" si="38"/>
        <v>0</v>
      </c>
      <c r="AE45" s="67">
        <f t="shared" si="39"/>
        <v>0</v>
      </c>
      <c r="AF45" s="70"/>
      <c r="AG45" s="73"/>
      <c r="AH45" s="65">
        <f t="shared" si="40"/>
        <v>0</v>
      </c>
      <c r="AI45" s="73"/>
      <c r="AJ45" s="73"/>
      <c r="AK45" s="68"/>
      <c r="AL45" s="68"/>
      <c r="AM45" s="68"/>
      <c r="AN45" s="68"/>
      <c r="AO45" s="68"/>
      <c r="AP45" s="68"/>
      <c r="AQ45" s="68"/>
      <c r="AR45" s="68"/>
      <c r="AS45" s="68"/>
      <c r="AT45" s="68"/>
      <c r="AU45" s="68"/>
      <c r="AV45" s="68"/>
      <c r="AW45" s="68"/>
      <c r="AX45" s="68"/>
      <c r="AY45" s="68"/>
      <c r="AZ45" s="68"/>
      <c r="BA45" s="68"/>
    </row>
    <row r="46" spans="1:55">
      <c r="A46" s="77"/>
      <c r="B46" s="78" t="s">
        <v>154</v>
      </c>
      <c r="C46" s="79"/>
      <c r="D46" s="80"/>
      <c r="E46" s="80"/>
      <c r="F46" s="80"/>
      <c r="G46" s="80"/>
      <c r="H46" s="80"/>
      <c r="I46" s="80"/>
      <c r="J46" s="80"/>
      <c r="K46" s="80"/>
      <c r="L46" s="80"/>
      <c r="M46" s="80"/>
      <c r="N46" s="80"/>
      <c r="O46" s="80"/>
      <c r="P46" s="80"/>
      <c r="Q46" s="80"/>
      <c r="R46" s="80"/>
      <c r="S46" s="80"/>
      <c r="T46" s="81"/>
      <c r="U46" s="82"/>
      <c r="V46" s="82"/>
      <c r="W46" s="82"/>
      <c r="X46" s="82"/>
      <c r="Y46" s="82"/>
      <c r="Z46" s="82"/>
      <c r="AA46" s="82"/>
      <c r="AB46" s="82"/>
      <c r="AC46" s="82"/>
      <c r="AD46" s="82"/>
      <c r="AE46" s="82"/>
      <c r="AF46" s="82"/>
      <c r="AG46" s="82"/>
      <c r="AH46" s="82"/>
      <c r="AI46" s="82"/>
      <c r="AJ46" s="82"/>
      <c r="AK46" s="83"/>
      <c r="AL46" s="84"/>
      <c r="AM46" s="84"/>
      <c r="AN46" s="84"/>
      <c r="AO46" s="84"/>
      <c r="AP46" s="84"/>
      <c r="AQ46" s="84"/>
      <c r="AR46" s="84"/>
      <c r="AS46" s="84"/>
      <c r="AT46" s="84"/>
      <c r="AU46" s="84"/>
      <c r="AV46" s="84"/>
      <c r="AW46" s="84"/>
      <c r="AX46" s="84"/>
      <c r="AY46" s="84"/>
      <c r="AZ46" s="84"/>
      <c r="BA46" s="84"/>
    </row>
    <row r="49" spans="3:3">
      <c r="C49" s="15"/>
    </row>
  </sheetData>
  <mergeCells count="46">
    <mergeCell ref="AR9:AT9"/>
    <mergeCell ref="AU9:AU10"/>
    <mergeCell ref="AV9:AX9"/>
    <mergeCell ref="AY9:BA9"/>
    <mergeCell ref="AE9:AG9"/>
    <mergeCell ref="AH9:AJ9"/>
    <mergeCell ref="AL9:AL10"/>
    <mergeCell ref="AM9:AM10"/>
    <mergeCell ref="AN9:AN10"/>
    <mergeCell ref="AO9:AQ9"/>
    <mergeCell ref="J9:L9"/>
    <mergeCell ref="M9:M10"/>
    <mergeCell ref="N9:P9"/>
    <mergeCell ref="Q9:S9"/>
    <mergeCell ref="U9:U10"/>
    <mergeCell ref="W8:AC8"/>
    <mergeCell ref="AD8:AJ8"/>
    <mergeCell ref="AK8:AK10"/>
    <mergeCell ref="AL8:AM8"/>
    <mergeCell ref="U8:V8"/>
    <mergeCell ref="W9:W10"/>
    <mergeCell ref="X9:Z9"/>
    <mergeCell ref="AA9:AC9"/>
    <mergeCell ref="AD9:AD10"/>
    <mergeCell ref="V9:V10"/>
    <mergeCell ref="A1:B1"/>
    <mergeCell ref="Q1:S1"/>
    <mergeCell ref="A3:BA3"/>
    <mergeCell ref="A4:BA4"/>
    <mergeCell ref="AZ6:BA6"/>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s>
  <dataValidations count="1">
    <dataValidation allowBlank="1" showInputMessage="1" showErrorMessage="1" prompt="ct 135" sqref="I35"/>
  </dataValidations>
  <pageMargins left="0" right="0" top="0" bottom="0"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6"/>
  <sheetViews>
    <sheetView showZeros="0" topLeftCell="M1" zoomScaleNormal="100" workbookViewId="0">
      <selection activeCell="AB12" sqref="AB12"/>
    </sheetView>
  </sheetViews>
  <sheetFormatPr defaultColWidth="9.140625" defaultRowHeight="15" outlineLevelCol="1"/>
  <cols>
    <col min="1" max="1" width="5.7109375" style="45" customWidth="1"/>
    <col min="2" max="2" width="25" style="45" customWidth="1"/>
    <col min="3" max="3" width="9.28515625" style="14" customWidth="1"/>
    <col min="4" max="5" width="9.28515625" style="14" customWidth="1" outlineLevel="1"/>
    <col min="6" max="6" width="9.42578125" style="14" customWidth="1" outlineLevel="1"/>
    <col min="7" max="7" width="9.7109375" style="14" customWidth="1" outlineLevel="1"/>
    <col min="8" max="8" width="8.85546875" style="14" customWidth="1" outlineLevel="1"/>
    <col min="9" max="9" width="5.42578125" style="14" customWidth="1" outlineLevel="1"/>
    <col min="10" max="10" width="8.42578125" style="14" customWidth="1" outlineLevel="1"/>
    <col min="11" max="11" width="8.140625" style="14" customWidth="1" outlineLevel="1"/>
    <col min="12" max="12" width="5.5703125" style="14" customWidth="1" outlineLevel="1"/>
    <col min="13" max="13" width="9.140625" style="14" customWidth="1" outlineLevel="1"/>
    <col min="14" max="14" width="8.85546875" style="14" customWidth="1" outlineLevel="1"/>
    <col min="15" max="15" width="9" style="14" customWidth="1" outlineLevel="1"/>
    <col min="16" max="16" width="6.42578125" style="14" customWidth="1" outlineLevel="1"/>
    <col min="17" max="17" width="8.28515625" style="14" customWidth="1" outlineLevel="1"/>
    <col min="18" max="18" width="9" style="14" customWidth="1" outlineLevel="1"/>
    <col min="19" max="19" width="7.28515625" style="14" customWidth="1" outlineLevel="1"/>
    <col min="20" max="20" width="9.28515625" style="14" customWidth="1" outlineLevel="1"/>
    <col min="21" max="21" width="9" style="14" customWidth="1" outlineLevel="1"/>
    <col min="22" max="22" width="8.85546875" style="14" customWidth="1" outlineLevel="1"/>
    <col min="23" max="23" width="7.28515625" style="14" customWidth="1" outlineLevel="1"/>
    <col min="24" max="24" width="8" style="14" customWidth="1" outlineLevel="1"/>
    <col min="25" max="25" width="8.42578125" style="14" customWidth="1" outlineLevel="1"/>
    <col min="26" max="26" width="7.28515625" style="14" customWidth="1" outlineLevel="1"/>
    <col min="27" max="27" width="10.85546875" style="45" customWidth="1"/>
    <col min="28" max="28" width="9.7109375" style="45" customWidth="1" outlineLevel="1"/>
    <col min="29" max="29" width="10.85546875" style="45" customWidth="1" outlineLevel="1"/>
    <col min="30" max="30" width="8.140625" style="45" customWidth="1" outlineLevel="1"/>
    <col min="31" max="31" width="8.28515625" style="45" customWidth="1" outlineLevel="1"/>
    <col min="32" max="32" width="8.42578125" style="45" customWidth="1" outlineLevel="1"/>
    <col min="33" max="36" width="7.28515625" style="45" customWidth="1" outlineLevel="1"/>
    <col min="37" max="37" width="8.42578125" style="45" customWidth="1" outlineLevel="1"/>
    <col min="38" max="38" width="8" style="45" customWidth="1" outlineLevel="1"/>
    <col min="39" max="39" width="8.42578125" style="45" customWidth="1" outlineLevel="1"/>
    <col min="40" max="40" width="7.28515625" style="45" customWidth="1" outlineLevel="1"/>
    <col min="41" max="41" width="8.42578125" style="45" customWidth="1" outlineLevel="1"/>
    <col min="42" max="42" width="8.7109375" style="45" customWidth="1" outlineLevel="1"/>
    <col min="43" max="43" width="7.28515625" style="45" customWidth="1" outlineLevel="1"/>
    <col min="44" max="44" width="9.140625" style="14" customWidth="1" outlineLevel="1"/>
    <col min="45" max="45" width="8.7109375" style="14" customWidth="1" outlineLevel="1"/>
    <col min="46" max="46" width="8.42578125" style="14" customWidth="1" outlineLevel="1"/>
    <col min="47" max="47" width="7.28515625" style="14" customWidth="1" outlineLevel="1"/>
    <col min="48" max="49" width="8" style="14" customWidth="1" outlineLevel="1"/>
    <col min="50" max="50" width="7.28515625" style="14" customWidth="1" outlineLevel="1"/>
    <col min="51" max="51" width="6.5703125" style="45" customWidth="1"/>
    <col min="52" max="60" width="6.5703125" style="45" customWidth="1" outlineLevel="1"/>
    <col min="61" max="67" width="6.5703125" style="14" customWidth="1" outlineLevel="1"/>
    <col min="68" max="74" width="6.5703125" style="45" customWidth="1" outlineLevel="1"/>
    <col min="75" max="16384" width="9.140625" style="45"/>
  </cols>
  <sheetData>
    <row r="1" spans="1:74" ht="15" customHeight="1">
      <c r="A1" s="654" t="s">
        <v>541</v>
      </c>
      <c r="B1" s="654"/>
      <c r="Q1" s="620"/>
      <c r="R1" s="620"/>
      <c r="S1" s="620"/>
      <c r="X1" s="620"/>
      <c r="Y1" s="620"/>
      <c r="Z1" s="620"/>
      <c r="AV1" s="620"/>
      <c r="AW1" s="620"/>
      <c r="AX1" s="620"/>
      <c r="BM1" s="620"/>
      <c r="BN1" s="620"/>
      <c r="BO1" s="620"/>
    </row>
    <row r="2" spans="1:74">
      <c r="A2" s="46"/>
    </row>
    <row r="3" spans="1:74">
      <c r="A3" s="655" t="s">
        <v>649</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c r="BD3" s="655"/>
      <c r="BE3" s="655"/>
      <c r="BF3" s="655"/>
      <c r="BG3" s="655"/>
      <c r="BH3" s="655"/>
      <c r="BI3" s="655"/>
      <c r="BJ3" s="655"/>
      <c r="BK3" s="655"/>
      <c r="BL3" s="655"/>
      <c r="BM3" s="655"/>
      <c r="BN3" s="655"/>
      <c r="BO3" s="655"/>
      <c r="BP3" s="655"/>
      <c r="BQ3" s="655"/>
      <c r="BR3" s="655"/>
      <c r="BS3" s="655"/>
      <c r="BT3" s="655"/>
      <c r="BU3" s="655"/>
      <c r="BV3" s="655"/>
    </row>
    <row r="4" spans="1:74">
      <c r="A4" s="656" t="s">
        <v>641</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c r="BD4" s="656"/>
      <c r="BE4" s="656"/>
      <c r="BF4" s="656"/>
      <c r="BG4" s="656"/>
      <c r="BH4" s="656"/>
      <c r="BI4" s="656"/>
      <c r="BJ4" s="656"/>
      <c r="BK4" s="656"/>
      <c r="BL4" s="656"/>
      <c r="BM4" s="656"/>
      <c r="BN4" s="656"/>
      <c r="BO4" s="656"/>
      <c r="BP4" s="656"/>
      <c r="BQ4" s="656"/>
      <c r="BR4" s="656"/>
      <c r="BS4" s="656"/>
      <c r="BT4" s="656"/>
      <c r="BU4" s="656"/>
      <c r="BV4" s="656"/>
    </row>
    <row r="5" spans="1:74" hidden="1">
      <c r="B5" s="47"/>
      <c r="AF5" s="48"/>
    </row>
    <row r="6" spans="1:74">
      <c r="B6" s="47"/>
      <c r="R6" s="49"/>
      <c r="S6" s="49"/>
      <c r="Y6" s="49"/>
      <c r="Z6" s="49"/>
      <c r="AB6" s="48"/>
      <c r="AW6" s="49"/>
      <c r="AX6" s="49"/>
      <c r="BN6" s="49"/>
      <c r="BO6" s="49"/>
      <c r="BU6" s="656" t="s">
        <v>62</v>
      </c>
      <c r="BV6" s="656"/>
    </row>
    <row r="7" spans="1:74" s="44" customFormat="1" ht="24.75" customHeight="1">
      <c r="A7" s="650" t="s">
        <v>16</v>
      </c>
      <c r="B7" s="650" t="s">
        <v>63</v>
      </c>
      <c r="C7" s="661" t="s">
        <v>650</v>
      </c>
      <c r="D7" s="662"/>
      <c r="E7" s="662"/>
      <c r="F7" s="662"/>
      <c r="G7" s="662"/>
      <c r="H7" s="662"/>
      <c r="I7" s="662"/>
      <c r="J7" s="662"/>
      <c r="K7" s="662"/>
      <c r="L7" s="662"/>
      <c r="M7" s="662"/>
      <c r="N7" s="662"/>
      <c r="O7" s="662"/>
      <c r="P7" s="662"/>
      <c r="Q7" s="662"/>
      <c r="R7" s="662"/>
      <c r="S7" s="662"/>
      <c r="T7" s="662"/>
      <c r="U7" s="662"/>
      <c r="V7" s="662"/>
      <c r="W7" s="662"/>
      <c r="X7" s="662"/>
      <c r="Y7" s="662"/>
      <c r="Z7" s="663"/>
      <c r="AA7" s="658" t="s">
        <v>324</v>
      </c>
      <c r="AB7" s="659"/>
      <c r="AC7" s="659"/>
      <c r="AD7" s="659"/>
      <c r="AE7" s="659"/>
      <c r="AF7" s="659"/>
      <c r="AG7" s="659"/>
      <c r="AH7" s="659"/>
      <c r="AI7" s="659"/>
      <c r="AJ7" s="659"/>
      <c r="AK7" s="659"/>
      <c r="AL7" s="659"/>
      <c r="AM7" s="659"/>
      <c r="AN7" s="659"/>
      <c r="AO7" s="659"/>
      <c r="AP7" s="659"/>
      <c r="AQ7" s="659"/>
      <c r="AR7" s="659"/>
      <c r="AS7" s="659"/>
      <c r="AT7" s="659"/>
      <c r="AU7" s="659"/>
      <c r="AV7" s="659"/>
      <c r="AW7" s="659"/>
      <c r="AX7" s="660"/>
      <c r="AY7" s="652" t="s">
        <v>325</v>
      </c>
      <c r="AZ7" s="652"/>
      <c r="BA7" s="652"/>
      <c r="BB7" s="652"/>
      <c r="BC7" s="652"/>
      <c r="BD7" s="652"/>
      <c r="BE7" s="652"/>
      <c r="BF7" s="652"/>
      <c r="BG7" s="652"/>
      <c r="BH7" s="652"/>
      <c r="BI7" s="652"/>
      <c r="BJ7" s="652"/>
      <c r="BK7" s="652"/>
      <c r="BL7" s="652"/>
      <c r="BM7" s="652"/>
      <c r="BN7" s="652"/>
      <c r="BO7" s="652"/>
      <c r="BP7" s="652"/>
      <c r="BQ7" s="652"/>
      <c r="BR7" s="652"/>
      <c r="BS7" s="652"/>
      <c r="BT7" s="652"/>
      <c r="BU7" s="652"/>
      <c r="BV7" s="652"/>
    </row>
    <row r="8" spans="1:74" ht="56.25" customHeight="1">
      <c r="A8" s="650"/>
      <c r="B8" s="650"/>
      <c r="C8" s="607" t="s">
        <v>153</v>
      </c>
      <c r="D8" s="607" t="s">
        <v>159</v>
      </c>
      <c r="E8" s="607"/>
      <c r="F8" s="607" t="s">
        <v>313</v>
      </c>
      <c r="G8" s="607"/>
      <c r="H8" s="607"/>
      <c r="I8" s="607"/>
      <c r="J8" s="607"/>
      <c r="K8" s="607"/>
      <c r="L8" s="607"/>
      <c r="M8" s="607" t="s">
        <v>314</v>
      </c>
      <c r="N8" s="607"/>
      <c r="O8" s="607"/>
      <c r="P8" s="607"/>
      <c r="Q8" s="607"/>
      <c r="R8" s="607"/>
      <c r="S8" s="607"/>
      <c r="T8" s="607" t="s">
        <v>744</v>
      </c>
      <c r="U8" s="607"/>
      <c r="V8" s="607"/>
      <c r="W8" s="607"/>
      <c r="X8" s="607"/>
      <c r="Y8" s="607"/>
      <c r="Z8" s="607"/>
      <c r="AA8" s="650" t="s">
        <v>153</v>
      </c>
      <c r="AB8" s="650" t="s">
        <v>159</v>
      </c>
      <c r="AC8" s="650"/>
      <c r="AD8" s="607" t="s">
        <v>313</v>
      </c>
      <c r="AE8" s="607"/>
      <c r="AF8" s="607"/>
      <c r="AG8" s="607"/>
      <c r="AH8" s="607"/>
      <c r="AI8" s="607"/>
      <c r="AJ8" s="607"/>
      <c r="AK8" s="607" t="s">
        <v>314</v>
      </c>
      <c r="AL8" s="607"/>
      <c r="AM8" s="607"/>
      <c r="AN8" s="607"/>
      <c r="AO8" s="607"/>
      <c r="AP8" s="607"/>
      <c r="AQ8" s="607"/>
      <c r="AR8" s="607" t="s">
        <v>744</v>
      </c>
      <c r="AS8" s="607"/>
      <c r="AT8" s="607"/>
      <c r="AU8" s="607"/>
      <c r="AV8" s="607"/>
      <c r="AW8" s="607"/>
      <c r="AX8" s="607"/>
      <c r="AY8" s="650" t="s">
        <v>153</v>
      </c>
      <c r="AZ8" s="650" t="s">
        <v>159</v>
      </c>
      <c r="BA8" s="650"/>
      <c r="BB8" s="607" t="s">
        <v>313</v>
      </c>
      <c r="BC8" s="607"/>
      <c r="BD8" s="607"/>
      <c r="BE8" s="607"/>
      <c r="BF8" s="607"/>
      <c r="BG8" s="607"/>
      <c r="BH8" s="607"/>
      <c r="BI8" s="607" t="s">
        <v>314</v>
      </c>
      <c r="BJ8" s="607"/>
      <c r="BK8" s="607"/>
      <c r="BL8" s="607"/>
      <c r="BM8" s="607"/>
      <c r="BN8" s="607"/>
      <c r="BO8" s="607"/>
      <c r="BP8" s="607" t="s">
        <v>744</v>
      </c>
      <c r="BQ8" s="607"/>
      <c r="BR8" s="607"/>
      <c r="BS8" s="607"/>
      <c r="BT8" s="607"/>
      <c r="BU8" s="607"/>
      <c r="BV8" s="607"/>
    </row>
    <row r="9" spans="1:74" ht="19.5" customHeight="1">
      <c r="A9" s="650"/>
      <c r="B9" s="650"/>
      <c r="C9" s="607"/>
      <c r="D9" s="653" t="s">
        <v>183</v>
      </c>
      <c r="E9" s="653" t="s">
        <v>184</v>
      </c>
      <c r="F9" s="607" t="s">
        <v>153</v>
      </c>
      <c r="G9" s="653" t="s">
        <v>183</v>
      </c>
      <c r="H9" s="653"/>
      <c r="I9" s="653"/>
      <c r="J9" s="653" t="s">
        <v>184</v>
      </c>
      <c r="K9" s="653"/>
      <c r="L9" s="653"/>
      <c r="M9" s="607" t="s">
        <v>153</v>
      </c>
      <c r="N9" s="653" t="s">
        <v>183</v>
      </c>
      <c r="O9" s="653"/>
      <c r="P9" s="653"/>
      <c r="Q9" s="653" t="s">
        <v>184</v>
      </c>
      <c r="R9" s="653"/>
      <c r="S9" s="653"/>
      <c r="T9" s="607" t="s">
        <v>153</v>
      </c>
      <c r="U9" s="653" t="s">
        <v>183</v>
      </c>
      <c r="V9" s="653"/>
      <c r="W9" s="653"/>
      <c r="X9" s="653" t="s">
        <v>184</v>
      </c>
      <c r="Y9" s="653"/>
      <c r="Z9" s="653"/>
      <c r="AA9" s="650"/>
      <c r="AB9" s="657" t="s">
        <v>183</v>
      </c>
      <c r="AC9" s="657" t="s">
        <v>184</v>
      </c>
      <c r="AD9" s="650" t="s">
        <v>153</v>
      </c>
      <c r="AE9" s="657" t="s">
        <v>183</v>
      </c>
      <c r="AF9" s="657"/>
      <c r="AG9" s="657"/>
      <c r="AH9" s="657" t="s">
        <v>184</v>
      </c>
      <c r="AI9" s="657"/>
      <c r="AJ9" s="657"/>
      <c r="AK9" s="650" t="s">
        <v>153</v>
      </c>
      <c r="AL9" s="657" t="s">
        <v>183</v>
      </c>
      <c r="AM9" s="657"/>
      <c r="AN9" s="657"/>
      <c r="AO9" s="657" t="s">
        <v>184</v>
      </c>
      <c r="AP9" s="657"/>
      <c r="AQ9" s="657"/>
      <c r="AR9" s="607" t="s">
        <v>153</v>
      </c>
      <c r="AS9" s="653" t="s">
        <v>183</v>
      </c>
      <c r="AT9" s="653"/>
      <c r="AU9" s="653"/>
      <c r="AV9" s="653" t="s">
        <v>184</v>
      </c>
      <c r="AW9" s="653"/>
      <c r="AX9" s="653"/>
      <c r="AY9" s="650"/>
      <c r="AZ9" s="657" t="s">
        <v>183</v>
      </c>
      <c r="BA9" s="657" t="s">
        <v>184</v>
      </c>
      <c r="BB9" s="650" t="s">
        <v>153</v>
      </c>
      <c r="BC9" s="657" t="s">
        <v>183</v>
      </c>
      <c r="BD9" s="657"/>
      <c r="BE9" s="657"/>
      <c r="BF9" s="657" t="s">
        <v>184</v>
      </c>
      <c r="BG9" s="657"/>
      <c r="BH9" s="657"/>
      <c r="BI9" s="607" t="s">
        <v>153</v>
      </c>
      <c r="BJ9" s="653" t="s">
        <v>183</v>
      </c>
      <c r="BK9" s="653"/>
      <c r="BL9" s="653"/>
      <c r="BM9" s="653" t="s">
        <v>184</v>
      </c>
      <c r="BN9" s="653"/>
      <c r="BO9" s="653"/>
      <c r="BP9" s="650" t="s">
        <v>153</v>
      </c>
      <c r="BQ9" s="657" t="s">
        <v>183</v>
      </c>
      <c r="BR9" s="657"/>
      <c r="BS9" s="657"/>
      <c r="BT9" s="657" t="s">
        <v>184</v>
      </c>
      <c r="BU9" s="657"/>
      <c r="BV9" s="657"/>
    </row>
    <row r="10" spans="1:74" ht="46.5" customHeight="1">
      <c r="A10" s="650"/>
      <c r="B10" s="650"/>
      <c r="C10" s="607"/>
      <c r="D10" s="653"/>
      <c r="E10" s="653"/>
      <c r="F10" s="607"/>
      <c r="G10" s="50" t="s">
        <v>153</v>
      </c>
      <c r="H10" s="50" t="s">
        <v>172</v>
      </c>
      <c r="I10" s="50" t="s">
        <v>171</v>
      </c>
      <c r="J10" s="50" t="s">
        <v>153</v>
      </c>
      <c r="K10" s="50" t="s">
        <v>172</v>
      </c>
      <c r="L10" s="50" t="s">
        <v>171</v>
      </c>
      <c r="M10" s="607"/>
      <c r="N10" s="50" t="s">
        <v>153</v>
      </c>
      <c r="O10" s="50" t="s">
        <v>172</v>
      </c>
      <c r="P10" s="50" t="s">
        <v>171</v>
      </c>
      <c r="Q10" s="50" t="s">
        <v>153</v>
      </c>
      <c r="R10" s="50" t="s">
        <v>172</v>
      </c>
      <c r="S10" s="50" t="s">
        <v>171</v>
      </c>
      <c r="T10" s="607"/>
      <c r="U10" s="50" t="s">
        <v>153</v>
      </c>
      <c r="V10" s="50" t="s">
        <v>172</v>
      </c>
      <c r="W10" s="50" t="s">
        <v>171</v>
      </c>
      <c r="X10" s="50" t="s">
        <v>153</v>
      </c>
      <c r="Y10" s="50" t="s">
        <v>172</v>
      </c>
      <c r="Z10" s="50" t="s">
        <v>171</v>
      </c>
      <c r="AA10" s="650"/>
      <c r="AB10" s="657"/>
      <c r="AC10" s="657"/>
      <c r="AD10" s="650"/>
      <c r="AE10" s="51" t="s">
        <v>153</v>
      </c>
      <c r="AF10" s="51" t="s">
        <v>172</v>
      </c>
      <c r="AG10" s="51" t="s">
        <v>171</v>
      </c>
      <c r="AH10" s="51" t="s">
        <v>153</v>
      </c>
      <c r="AI10" s="51" t="s">
        <v>172</v>
      </c>
      <c r="AJ10" s="51" t="s">
        <v>171</v>
      </c>
      <c r="AK10" s="650"/>
      <c r="AL10" s="51" t="s">
        <v>153</v>
      </c>
      <c r="AM10" s="51" t="s">
        <v>172</v>
      </c>
      <c r="AN10" s="51" t="s">
        <v>171</v>
      </c>
      <c r="AO10" s="51" t="s">
        <v>153</v>
      </c>
      <c r="AP10" s="51" t="s">
        <v>172</v>
      </c>
      <c r="AQ10" s="51" t="s">
        <v>171</v>
      </c>
      <c r="AR10" s="607"/>
      <c r="AS10" s="50" t="s">
        <v>153</v>
      </c>
      <c r="AT10" s="50" t="s">
        <v>172</v>
      </c>
      <c r="AU10" s="50" t="s">
        <v>171</v>
      </c>
      <c r="AV10" s="50" t="s">
        <v>153</v>
      </c>
      <c r="AW10" s="50" t="s">
        <v>172</v>
      </c>
      <c r="AX10" s="50" t="s">
        <v>171</v>
      </c>
      <c r="AY10" s="650"/>
      <c r="AZ10" s="657"/>
      <c r="BA10" s="657"/>
      <c r="BB10" s="650"/>
      <c r="BC10" s="51" t="s">
        <v>153</v>
      </c>
      <c r="BD10" s="51" t="s">
        <v>172</v>
      </c>
      <c r="BE10" s="51" t="s">
        <v>171</v>
      </c>
      <c r="BF10" s="51" t="s">
        <v>153</v>
      </c>
      <c r="BG10" s="51" t="s">
        <v>172</v>
      </c>
      <c r="BH10" s="51" t="s">
        <v>171</v>
      </c>
      <c r="BI10" s="607"/>
      <c r="BJ10" s="50" t="s">
        <v>153</v>
      </c>
      <c r="BK10" s="50" t="s">
        <v>172</v>
      </c>
      <c r="BL10" s="50" t="s">
        <v>171</v>
      </c>
      <c r="BM10" s="50" t="s">
        <v>153</v>
      </c>
      <c r="BN10" s="50" t="s">
        <v>172</v>
      </c>
      <c r="BO10" s="50" t="s">
        <v>171</v>
      </c>
      <c r="BP10" s="650"/>
      <c r="BQ10" s="51" t="s">
        <v>153</v>
      </c>
      <c r="BR10" s="51" t="s">
        <v>172</v>
      </c>
      <c r="BS10" s="51" t="s">
        <v>171</v>
      </c>
      <c r="BT10" s="51" t="s">
        <v>153</v>
      </c>
      <c r="BU10" s="51" t="s">
        <v>172</v>
      </c>
      <c r="BV10" s="51" t="s">
        <v>171</v>
      </c>
    </row>
    <row r="11" spans="1:74" ht="34.5" customHeight="1">
      <c r="A11" s="51" t="s">
        <v>23</v>
      </c>
      <c r="B11" s="51" t="s">
        <v>24</v>
      </c>
      <c r="C11" s="50" t="s">
        <v>147</v>
      </c>
      <c r="D11" s="50" t="s">
        <v>748</v>
      </c>
      <c r="E11" s="50" t="s">
        <v>749</v>
      </c>
      <c r="F11" s="50" t="s">
        <v>310</v>
      </c>
      <c r="G11" s="50" t="s">
        <v>309</v>
      </c>
      <c r="H11" s="50">
        <v>6</v>
      </c>
      <c r="I11" s="50">
        <v>7</v>
      </c>
      <c r="J11" s="50" t="s">
        <v>308</v>
      </c>
      <c r="K11" s="50">
        <v>9</v>
      </c>
      <c r="L11" s="50">
        <v>10</v>
      </c>
      <c r="M11" s="50" t="s">
        <v>307</v>
      </c>
      <c r="N11" s="50" t="s">
        <v>306</v>
      </c>
      <c r="O11" s="50">
        <v>13</v>
      </c>
      <c r="P11" s="50">
        <v>14</v>
      </c>
      <c r="Q11" s="50" t="s">
        <v>305</v>
      </c>
      <c r="R11" s="50">
        <v>16</v>
      </c>
      <c r="S11" s="50">
        <v>17</v>
      </c>
      <c r="T11" s="50" t="s">
        <v>745</v>
      </c>
      <c r="U11" s="50" t="s">
        <v>746</v>
      </c>
      <c r="V11" s="50">
        <v>20</v>
      </c>
      <c r="W11" s="50">
        <v>21</v>
      </c>
      <c r="X11" s="50" t="s">
        <v>747</v>
      </c>
      <c r="Y11" s="50">
        <v>23</v>
      </c>
      <c r="Z11" s="50">
        <v>24</v>
      </c>
      <c r="AA11" s="50" t="s">
        <v>750</v>
      </c>
      <c r="AB11" s="50" t="s">
        <v>751</v>
      </c>
      <c r="AC11" s="50" t="s">
        <v>752</v>
      </c>
      <c r="AD11" s="50" t="s">
        <v>753</v>
      </c>
      <c r="AE11" s="50" t="s">
        <v>754</v>
      </c>
      <c r="AF11" s="50">
        <v>30</v>
      </c>
      <c r="AG11" s="50">
        <v>31</v>
      </c>
      <c r="AH11" s="50" t="s">
        <v>755</v>
      </c>
      <c r="AI11" s="50">
        <v>33</v>
      </c>
      <c r="AJ11" s="50">
        <v>34</v>
      </c>
      <c r="AK11" s="50" t="s">
        <v>756</v>
      </c>
      <c r="AL11" s="50" t="s">
        <v>757</v>
      </c>
      <c r="AM11" s="50">
        <v>37</v>
      </c>
      <c r="AN11" s="50">
        <v>38</v>
      </c>
      <c r="AO11" s="50" t="s">
        <v>758</v>
      </c>
      <c r="AP11" s="50">
        <v>40</v>
      </c>
      <c r="AQ11" s="50">
        <v>41</v>
      </c>
      <c r="AR11" s="50" t="s">
        <v>759</v>
      </c>
      <c r="AS11" s="50" t="s">
        <v>760</v>
      </c>
      <c r="AT11" s="50">
        <v>44</v>
      </c>
      <c r="AU11" s="50">
        <v>45</v>
      </c>
      <c r="AV11" s="50" t="s">
        <v>761</v>
      </c>
      <c r="AW11" s="50">
        <v>47</v>
      </c>
      <c r="AX11" s="50">
        <v>48</v>
      </c>
      <c r="AY11" s="51" t="s">
        <v>762</v>
      </c>
      <c r="AZ11" s="51" t="s">
        <v>763</v>
      </c>
      <c r="BA11" s="51" t="s">
        <v>764</v>
      </c>
      <c r="BB11" s="51" t="s">
        <v>765</v>
      </c>
      <c r="BC11" s="51" t="s">
        <v>766</v>
      </c>
      <c r="BD11" s="51" t="s">
        <v>767</v>
      </c>
      <c r="BE11" s="51" t="s">
        <v>768</v>
      </c>
      <c r="BF11" s="51" t="s">
        <v>769</v>
      </c>
      <c r="BG11" s="51" t="s">
        <v>770</v>
      </c>
      <c r="BH11" s="51" t="s">
        <v>771</v>
      </c>
      <c r="BI11" s="50" t="s">
        <v>772</v>
      </c>
      <c r="BJ11" s="50" t="s">
        <v>773</v>
      </c>
      <c r="BK11" s="50" t="s">
        <v>774</v>
      </c>
      <c r="BL11" s="50" t="s">
        <v>775</v>
      </c>
      <c r="BM11" s="50" t="s">
        <v>776</v>
      </c>
      <c r="BN11" s="50" t="s">
        <v>777</v>
      </c>
      <c r="BO11" s="50" t="s">
        <v>778</v>
      </c>
      <c r="BP11" s="51" t="s">
        <v>779</v>
      </c>
      <c r="BQ11" s="51" t="s">
        <v>780</v>
      </c>
      <c r="BR11" s="51" t="s">
        <v>781</v>
      </c>
      <c r="BS11" s="51" t="s">
        <v>782</v>
      </c>
      <c r="BT11" s="51" t="s">
        <v>783</v>
      </c>
      <c r="BU11" s="51" t="s">
        <v>784</v>
      </c>
      <c r="BV11" s="51" t="s">
        <v>785</v>
      </c>
    </row>
    <row r="12" spans="1:74">
      <c r="A12" s="193"/>
      <c r="B12" s="42" t="s">
        <v>155</v>
      </c>
      <c r="C12" s="36">
        <f>C13+C42</f>
        <v>898432</v>
      </c>
      <c r="D12" s="36">
        <f t="shared" ref="D12:Z12" si="0">D13+D42</f>
        <v>672411</v>
      </c>
      <c r="E12" s="36">
        <f t="shared" si="0"/>
        <v>226021</v>
      </c>
      <c r="F12" s="36">
        <f t="shared" si="0"/>
        <v>161210</v>
      </c>
      <c r="G12" s="36">
        <f t="shared" si="0"/>
        <v>135050</v>
      </c>
      <c r="H12" s="36">
        <f t="shared" si="0"/>
        <v>135050</v>
      </c>
      <c r="I12" s="36">
        <f t="shared" si="0"/>
        <v>0</v>
      </c>
      <c r="J12" s="36">
        <f t="shared" si="0"/>
        <v>26160</v>
      </c>
      <c r="K12" s="36">
        <f t="shared" si="0"/>
        <v>26160</v>
      </c>
      <c r="L12" s="36">
        <f t="shared" si="0"/>
        <v>0</v>
      </c>
      <c r="M12" s="36">
        <f t="shared" si="0"/>
        <v>265917</v>
      </c>
      <c r="N12" s="36">
        <f t="shared" si="0"/>
        <v>213436</v>
      </c>
      <c r="O12" s="36">
        <f t="shared" si="0"/>
        <v>213436</v>
      </c>
      <c r="P12" s="36">
        <f t="shared" si="0"/>
        <v>0</v>
      </c>
      <c r="Q12" s="36">
        <f t="shared" si="0"/>
        <v>52481</v>
      </c>
      <c r="R12" s="36">
        <f t="shared" si="0"/>
        <v>52481</v>
      </c>
      <c r="S12" s="36">
        <f t="shared" si="0"/>
        <v>0</v>
      </c>
      <c r="T12" s="36">
        <f t="shared" si="0"/>
        <v>471305</v>
      </c>
      <c r="U12" s="36">
        <f t="shared" si="0"/>
        <v>323925</v>
      </c>
      <c r="V12" s="36">
        <f t="shared" si="0"/>
        <v>323925</v>
      </c>
      <c r="W12" s="36">
        <f t="shared" si="0"/>
        <v>0</v>
      </c>
      <c r="X12" s="36">
        <f t="shared" si="0"/>
        <v>147380</v>
      </c>
      <c r="Y12" s="36">
        <f t="shared" si="0"/>
        <v>147380</v>
      </c>
      <c r="Z12" s="36">
        <f t="shared" si="0"/>
        <v>0</v>
      </c>
      <c r="AA12" s="36">
        <f>AA13+AA42</f>
        <v>307765.92214800004</v>
      </c>
      <c r="AB12" s="36">
        <f t="shared" ref="AB12" si="1">AB13+AB42</f>
        <v>236449.44658800002</v>
      </c>
      <c r="AC12" s="36">
        <f t="shared" ref="AC12" si="2">AC13+AC42</f>
        <v>71316.475559999992</v>
      </c>
      <c r="AD12" s="36">
        <f>AD13+AD42</f>
        <v>92094.31191400002</v>
      </c>
      <c r="AE12" s="36">
        <f t="shared" ref="AE12" si="3">AE13+AE42</f>
        <v>82480.322801000002</v>
      </c>
      <c r="AF12" s="36">
        <f t="shared" ref="AF12" si="4">AF13+AF42</f>
        <v>82480.322801000002</v>
      </c>
      <c r="AG12" s="36">
        <f t="shared" ref="AG12" si="5">AG13+AG42</f>
        <v>0</v>
      </c>
      <c r="AH12" s="36">
        <f t="shared" ref="AH12" si="6">AH13+AH42</f>
        <v>9613.9891129999996</v>
      </c>
      <c r="AI12" s="36">
        <f t="shared" ref="AI12" si="7">AI13+AI42</f>
        <v>9613.9891129999996</v>
      </c>
      <c r="AJ12" s="36">
        <f t="shared" ref="AJ12" si="8">AJ13+AJ42</f>
        <v>0</v>
      </c>
      <c r="AK12" s="36">
        <f t="shared" ref="AK12" si="9">AK13+AK42</f>
        <v>76617.220791999993</v>
      </c>
      <c r="AL12" s="36">
        <f t="shared" ref="AL12" si="10">AL13+AL42</f>
        <v>60058.304671000005</v>
      </c>
      <c r="AM12" s="36">
        <f t="shared" ref="AM12" si="11">AM13+AM42</f>
        <v>60058.304671000005</v>
      </c>
      <c r="AN12" s="36">
        <f t="shared" ref="AN12" si="12">AN13+AN42</f>
        <v>0</v>
      </c>
      <c r="AO12" s="36">
        <f t="shared" ref="AO12" si="13">AO13+AO42</f>
        <v>16558.916121000002</v>
      </c>
      <c r="AP12" s="36">
        <f t="shared" ref="AP12" si="14">AP13+AP42</f>
        <v>16558.916121000002</v>
      </c>
      <c r="AQ12" s="36">
        <f t="shared" ref="AQ12" si="15">AQ13+AQ42</f>
        <v>0</v>
      </c>
      <c r="AR12" s="36">
        <f t="shared" ref="AR12" si="16">AR13+AR42</f>
        <v>139054.38944200001</v>
      </c>
      <c r="AS12" s="36">
        <f t="shared" ref="AS12" si="17">AS13+AS42</f>
        <v>93910.819115999999</v>
      </c>
      <c r="AT12" s="36">
        <f t="shared" ref="AT12" si="18">AT13+AT42</f>
        <v>93910.819115999999</v>
      </c>
      <c r="AU12" s="36">
        <f t="shared" ref="AU12" si="19">AU13+AU42</f>
        <v>0</v>
      </c>
      <c r="AV12" s="36">
        <f t="shared" ref="AV12" si="20">AV13+AV42</f>
        <v>45143.570326000001</v>
      </c>
      <c r="AW12" s="36">
        <f t="shared" ref="AW12" si="21">AW13+AW42</f>
        <v>45143.570326000001</v>
      </c>
      <c r="AX12" s="36">
        <f t="shared" ref="AX12" si="22">AX13+AX42</f>
        <v>0</v>
      </c>
      <c r="AY12" s="194">
        <f>AA12/C12</f>
        <v>0.34255894953429983</v>
      </c>
      <c r="AZ12" s="194">
        <f t="shared" ref="AZ12:BU13" si="23">AB12/D12</f>
        <v>0.35164422739663692</v>
      </c>
      <c r="BA12" s="194">
        <f t="shared" si="23"/>
        <v>0.31553030718384573</v>
      </c>
      <c r="BB12" s="194">
        <f t="shared" si="23"/>
        <v>0.5712692259413189</v>
      </c>
      <c r="BC12" s="194">
        <f t="shared" si="23"/>
        <v>0.61073915439466864</v>
      </c>
      <c r="BD12" s="194">
        <f t="shared" si="23"/>
        <v>0.61073915439466864</v>
      </c>
      <c r="BE12" s="194"/>
      <c r="BF12" s="194">
        <f t="shared" si="23"/>
        <v>0.36750722909021405</v>
      </c>
      <c r="BG12" s="194">
        <f t="shared" si="23"/>
        <v>0.36750722909021405</v>
      </c>
      <c r="BH12" s="194"/>
      <c r="BI12" s="194">
        <f t="shared" si="23"/>
        <v>0.28812456816224608</v>
      </c>
      <c r="BJ12" s="194">
        <f t="shared" si="23"/>
        <v>0.28138788522554775</v>
      </c>
      <c r="BK12" s="194">
        <f t="shared" si="23"/>
        <v>0.28138788522554775</v>
      </c>
      <c r="BL12" s="194"/>
      <c r="BM12" s="194">
        <f t="shared" si="23"/>
        <v>0.31552211507021594</v>
      </c>
      <c r="BN12" s="194">
        <f t="shared" si="23"/>
        <v>0.31552211507021594</v>
      </c>
      <c r="BO12" s="194"/>
      <c r="BP12" s="194">
        <f t="shared" si="23"/>
        <v>0.29504119294724224</v>
      </c>
      <c r="BQ12" s="194">
        <f t="shared" si="23"/>
        <v>0.28991531717527202</v>
      </c>
      <c r="BR12" s="194">
        <f t="shared" si="23"/>
        <v>0.28991531717527202</v>
      </c>
      <c r="BS12" s="194"/>
      <c r="BT12" s="194">
        <f t="shared" si="23"/>
        <v>0.3063073030669019</v>
      </c>
      <c r="BU12" s="194">
        <f t="shared" si="23"/>
        <v>0.3063073030669019</v>
      </c>
      <c r="BV12" s="194"/>
    </row>
    <row r="13" spans="1:74">
      <c r="A13" s="195" t="s">
        <v>28</v>
      </c>
      <c r="B13" s="196" t="s">
        <v>266</v>
      </c>
      <c r="C13" s="197">
        <f>SUM(C14:C41)</f>
        <v>125321</v>
      </c>
      <c r="D13" s="197">
        <f t="shared" ref="D13:AX13" si="24">SUM(D14:D41)</f>
        <v>64911</v>
      </c>
      <c r="E13" s="197">
        <f t="shared" si="24"/>
        <v>60410</v>
      </c>
      <c r="F13" s="197">
        <f t="shared" si="24"/>
        <v>7230</v>
      </c>
      <c r="G13" s="197">
        <f t="shared" si="24"/>
        <v>0</v>
      </c>
      <c r="H13" s="197">
        <f t="shared" si="24"/>
        <v>0</v>
      </c>
      <c r="I13" s="197">
        <f t="shared" si="24"/>
        <v>0</v>
      </c>
      <c r="J13" s="197">
        <f t="shared" si="24"/>
        <v>7230</v>
      </c>
      <c r="K13" s="197">
        <f t="shared" si="24"/>
        <v>7230</v>
      </c>
      <c r="L13" s="197">
        <f t="shared" si="24"/>
        <v>0</v>
      </c>
      <c r="M13" s="197">
        <f t="shared" si="24"/>
        <v>27724</v>
      </c>
      <c r="N13" s="197">
        <f t="shared" si="24"/>
        <v>22417</v>
      </c>
      <c r="O13" s="197">
        <f t="shared" si="24"/>
        <v>22417</v>
      </c>
      <c r="P13" s="197">
        <f t="shared" si="24"/>
        <v>0</v>
      </c>
      <c r="Q13" s="197">
        <f t="shared" si="24"/>
        <v>5307</v>
      </c>
      <c r="R13" s="197">
        <f t="shared" si="24"/>
        <v>5307</v>
      </c>
      <c r="S13" s="197">
        <f t="shared" si="24"/>
        <v>0</v>
      </c>
      <c r="T13" s="197">
        <f t="shared" si="24"/>
        <v>90367</v>
      </c>
      <c r="U13" s="197">
        <f t="shared" si="24"/>
        <v>42494</v>
      </c>
      <c r="V13" s="197">
        <f t="shared" si="24"/>
        <v>42494</v>
      </c>
      <c r="W13" s="197">
        <f t="shared" si="24"/>
        <v>0</v>
      </c>
      <c r="X13" s="197">
        <f t="shared" si="24"/>
        <v>47873</v>
      </c>
      <c r="Y13" s="197">
        <f t="shared" si="24"/>
        <v>47873</v>
      </c>
      <c r="Z13" s="197">
        <f t="shared" si="24"/>
        <v>0</v>
      </c>
      <c r="AA13" s="197">
        <f t="shared" si="24"/>
        <v>27309.388468999994</v>
      </c>
      <c r="AB13" s="197">
        <f t="shared" si="24"/>
        <v>3304.3563709999999</v>
      </c>
      <c r="AC13" s="197">
        <f>SUM(AC14:AC41)</f>
        <v>24005.032097999992</v>
      </c>
      <c r="AD13" s="197">
        <f t="shared" si="24"/>
        <v>2352.9217040000003</v>
      </c>
      <c r="AE13" s="197">
        <f t="shared" si="24"/>
        <v>0</v>
      </c>
      <c r="AF13" s="197">
        <f t="shared" si="24"/>
        <v>0</v>
      </c>
      <c r="AG13" s="197">
        <f t="shared" si="24"/>
        <v>0</v>
      </c>
      <c r="AH13" s="197">
        <f t="shared" si="24"/>
        <v>2352.9217040000003</v>
      </c>
      <c r="AI13" s="197">
        <f t="shared" si="24"/>
        <v>2352.9217040000003</v>
      </c>
      <c r="AJ13" s="197">
        <f t="shared" si="24"/>
        <v>0</v>
      </c>
      <c r="AK13" s="197">
        <f t="shared" si="24"/>
        <v>6694.0690869999989</v>
      </c>
      <c r="AL13" s="197">
        <f>SUM(AL14:AL41)</f>
        <v>3304.3563709999999</v>
      </c>
      <c r="AM13" s="197">
        <f t="shared" si="24"/>
        <v>3304.3563709999999</v>
      </c>
      <c r="AN13" s="197">
        <f t="shared" si="24"/>
        <v>0</v>
      </c>
      <c r="AO13" s="197">
        <f t="shared" si="24"/>
        <v>3389.712716</v>
      </c>
      <c r="AP13" s="197">
        <f t="shared" si="24"/>
        <v>3389.712716</v>
      </c>
      <c r="AQ13" s="197">
        <f t="shared" si="24"/>
        <v>0</v>
      </c>
      <c r="AR13" s="197">
        <f t="shared" si="24"/>
        <v>18262.397677999998</v>
      </c>
      <c r="AS13" s="197">
        <f t="shared" si="24"/>
        <v>0</v>
      </c>
      <c r="AT13" s="197">
        <f t="shared" si="24"/>
        <v>0</v>
      </c>
      <c r="AU13" s="197">
        <f t="shared" si="24"/>
        <v>0</v>
      </c>
      <c r="AV13" s="197">
        <f t="shared" si="24"/>
        <v>18262.397677999998</v>
      </c>
      <c r="AW13" s="197">
        <f t="shared" si="24"/>
        <v>18262.397677999998</v>
      </c>
      <c r="AX13" s="197">
        <f t="shared" si="24"/>
        <v>0</v>
      </c>
      <c r="AY13" s="198">
        <f>AA13/C13</f>
        <v>0.21791550074608401</v>
      </c>
      <c r="AZ13" s="198">
        <f t="shared" si="23"/>
        <v>5.0905953859900474E-2</v>
      </c>
      <c r="BA13" s="198">
        <f t="shared" si="23"/>
        <v>0.39736851676874679</v>
      </c>
      <c r="BB13" s="198">
        <f t="shared" si="23"/>
        <v>0.32543868658367914</v>
      </c>
      <c r="BC13" s="198"/>
      <c r="BD13" s="198"/>
      <c r="BE13" s="198"/>
      <c r="BF13" s="198">
        <f t="shared" si="23"/>
        <v>0.32543868658367914</v>
      </c>
      <c r="BG13" s="198">
        <f t="shared" si="23"/>
        <v>0.32543868658367914</v>
      </c>
      <c r="BH13" s="198"/>
      <c r="BI13" s="198">
        <f t="shared" si="23"/>
        <v>0.24145394196364156</v>
      </c>
      <c r="BJ13" s="198">
        <f t="shared" si="23"/>
        <v>0.14740404028192888</v>
      </c>
      <c r="BK13" s="198">
        <f t="shared" si="23"/>
        <v>0.14740404028192888</v>
      </c>
      <c r="BL13" s="198"/>
      <c r="BM13" s="198">
        <f t="shared" si="23"/>
        <v>0.63872483813830794</v>
      </c>
      <c r="BN13" s="198">
        <f t="shared" si="23"/>
        <v>0.63872483813830794</v>
      </c>
      <c r="BO13" s="198"/>
      <c r="BP13" s="198">
        <f t="shared" si="23"/>
        <v>0.20209144574900126</v>
      </c>
      <c r="BQ13" s="198">
        <f t="shared" si="23"/>
        <v>0</v>
      </c>
      <c r="BR13" s="198">
        <f t="shared" si="23"/>
        <v>0</v>
      </c>
      <c r="BS13" s="198"/>
      <c r="BT13" s="198">
        <f t="shared" si="23"/>
        <v>0.3814759400497148</v>
      </c>
      <c r="BU13" s="198">
        <f t="shared" si="23"/>
        <v>0.3814759400497148</v>
      </c>
      <c r="BV13" s="198"/>
    </row>
    <row r="14" spans="1:74" ht="24.75" customHeight="1">
      <c r="A14" s="190">
        <v>1</v>
      </c>
      <c r="B14" s="191" t="s">
        <v>733</v>
      </c>
      <c r="C14" s="199">
        <f>D14+E14</f>
        <v>18007</v>
      </c>
      <c r="D14" s="200">
        <f>G14+N14+U14</f>
        <v>6394</v>
      </c>
      <c r="E14" s="200">
        <f>J14+Q14+X14</f>
        <v>11613</v>
      </c>
      <c r="F14" s="200">
        <f>G14+J14</f>
        <v>640</v>
      </c>
      <c r="G14" s="200">
        <f>H14+I14</f>
        <v>0</v>
      </c>
      <c r="H14" s="200"/>
      <c r="I14" s="200"/>
      <c r="J14" s="200">
        <f>K14+L14</f>
        <v>640</v>
      </c>
      <c r="K14" s="200">
        <v>640</v>
      </c>
      <c r="L14" s="200"/>
      <c r="M14" s="200">
        <f t="shared" ref="M14:M41" si="25">N14+Q14</f>
        <v>134</v>
      </c>
      <c r="N14" s="200">
        <f t="shared" ref="N14:N41" si="26">O14+P14</f>
        <v>0</v>
      </c>
      <c r="O14" s="200">
        <v>0</v>
      </c>
      <c r="P14" s="200"/>
      <c r="Q14" s="200">
        <f t="shared" ref="Q14:Q41" si="27">R14+S14</f>
        <v>134</v>
      </c>
      <c r="R14" s="200">
        <v>134</v>
      </c>
      <c r="S14" s="200"/>
      <c r="T14" s="200">
        <f t="shared" ref="T14:T40" si="28">U14+X14</f>
        <v>17233</v>
      </c>
      <c r="U14" s="200">
        <f t="shared" ref="U14:U40" si="29">V14+W14</f>
        <v>6394</v>
      </c>
      <c r="V14" s="200">
        <v>6394</v>
      </c>
      <c r="W14" s="200"/>
      <c r="X14" s="200">
        <f t="shared" ref="X14:X40" si="30">Y14+Z14</f>
        <v>10839</v>
      </c>
      <c r="Y14" s="200">
        <v>10839</v>
      </c>
      <c r="Z14" s="200"/>
      <c r="AA14" s="199">
        <f>AB14+AC14</f>
        <v>5187.6132289999996</v>
      </c>
      <c r="AB14" s="200">
        <f>AE14+AL14+AS14</f>
        <v>0</v>
      </c>
      <c r="AC14" s="200">
        <f>AH14+AO14+AV14</f>
        <v>5187.6132289999996</v>
      </c>
      <c r="AD14" s="200">
        <f>AE14+AH14</f>
        <v>216.132488</v>
      </c>
      <c r="AE14" s="200">
        <f>AF14+AG14</f>
        <v>0</v>
      </c>
      <c r="AF14" s="200"/>
      <c r="AG14" s="200"/>
      <c r="AH14" s="200">
        <f>AI14+AJ14</f>
        <v>216.132488</v>
      </c>
      <c r="AI14" s="200">
        <v>216.132488</v>
      </c>
      <c r="AJ14" s="200"/>
      <c r="AK14" s="200">
        <f t="shared" ref="AK14:AK41" si="31">AL14+AO14</f>
        <v>0</v>
      </c>
      <c r="AL14" s="200">
        <f t="shared" ref="AL14:AL41" si="32">AM14+AN14</f>
        <v>0</v>
      </c>
      <c r="AM14" s="200"/>
      <c r="AN14" s="200"/>
      <c r="AO14" s="200">
        <f t="shared" ref="AO14:AO41" si="33">AP14+AQ14</f>
        <v>0</v>
      </c>
      <c r="AP14" s="200"/>
      <c r="AQ14" s="200"/>
      <c r="AR14" s="200">
        <f t="shared" ref="AR14:AR40" si="34">AS14+AV14</f>
        <v>4971.4807409999994</v>
      </c>
      <c r="AS14" s="200">
        <f t="shared" ref="AS14:AS40" si="35">AT14+AU14</f>
        <v>0</v>
      </c>
      <c r="AT14" s="200"/>
      <c r="AU14" s="200"/>
      <c r="AV14" s="200">
        <f t="shared" ref="AV14:AV40" si="36">AW14+AX14</f>
        <v>4971.4807409999994</v>
      </c>
      <c r="AW14" s="200">
        <v>4971.4807409999994</v>
      </c>
      <c r="AX14" s="200"/>
      <c r="AY14" s="201">
        <f t="shared" ref="AY14:AY39" si="37">AA14/C14</f>
        <v>0.28808870044982504</v>
      </c>
      <c r="AZ14" s="201">
        <f>AB14/D14</f>
        <v>0</v>
      </c>
      <c r="BA14" s="201">
        <f t="shared" ref="BA14:BA40" si="38">AC14/E14</f>
        <v>0.44670741660208385</v>
      </c>
      <c r="BB14" s="201">
        <f t="shared" ref="BB14:BB40" si="39">AD14/F14</f>
        <v>0.33770701250000001</v>
      </c>
      <c r="BC14" s="201"/>
      <c r="BD14" s="201"/>
      <c r="BE14" s="201"/>
      <c r="BF14" s="201">
        <f t="shared" ref="BF14:BF40" si="40">AH14/J14</f>
        <v>0.33770701250000001</v>
      </c>
      <c r="BG14" s="201">
        <f t="shared" ref="BG14:BG40" si="41">AI14/K14</f>
        <v>0.33770701250000001</v>
      </c>
      <c r="BH14" s="201"/>
      <c r="BI14" s="201">
        <f t="shared" ref="BI14:BI29" si="42">AK14/M14</f>
        <v>0</v>
      </c>
      <c r="BJ14" s="201"/>
      <c r="BK14" s="201"/>
      <c r="BL14" s="201"/>
      <c r="BM14" s="201">
        <f t="shared" ref="BM14:BM29" si="43">AO14/Q14</f>
        <v>0</v>
      </c>
      <c r="BN14" s="201">
        <f t="shared" ref="BN14:BN29" si="44">AP14/R14</f>
        <v>0</v>
      </c>
      <c r="BO14" s="201"/>
      <c r="BP14" s="201">
        <f t="shared" ref="BP14:BP40" si="45">AR14/T14</f>
        <v>0.28848608721638713</v>
      </c>
      <c r="BQ14" s="201">
        <f t="shared" ref="BQ14:BQ32" si="46">AS14/U14</f>
        <v>0</v>
      </c>
      <c r="BR14" s="201">
        <f t="shared" ref="BR14:BR32" si="47">AT14/V14</f>
        <v>0</v>
      </c>
      <c r="BS14" s="201"/>
      <c r="BT14" s="201">
        <f t="shared" ref="BT14:BT40" si="48">AV14/X14</f>
        <v>0.45866599695543864</v>
      </c>
      <c r="BU14" s="201">
        <f t="shared" ref="BU14:BU40" si="49">AW14/Y14</f>
        <v>0.45866599695543864</v>
      </c>
      <c r="BV14" s="201"/>
    </row>
    <row r="15" spans="1:74" ht="25.5">
      <c r="A15" s="190">
        <v>2</v>
      </c>
      <c r="B15" s="191" t="s">
        <v>734</v>
      </c>
      <c r="C15" s="199">
        <f t="shared" ref="C15:C52" si="50">D15+E15</f>
        <v>3198</v>
      </c>
      <c r="D15" s="200">
        <f t="shared" ref="D15:D41" si="51">G15+N15+U15</f>
        <v>934</v>
      </c>
      <c r="E15" s="200">
        <f t="shared" ref="E15:E41" si="52">J15+Q15+X15</f>
        <v>2264</v>
      </c>
      <c r="F15" s="200">
        <f t="shared" ref="F15:F41" si="53">G15+J15</f>
        <v>0</v>
      </c>
      <c r="G15" s="200">
        <f t="shared" ref="G15:G40" si="54">H15+I15</f>
        <v>0</v>
      </c>
      <c r="H15" s="200"/>
      <c r="I15" s="200"/>
      <c r="J15" s="200">
        <f t="shared" ref="J15:J41" si="55">K15+L15</f>
        <v>0</v>
      </c>
      <c r="K15" s="200"/>
      <c r="L15" s="200"/>
      <c r="M15" s="200">
        <f t="shared" si="25"/>
        <v>2777</v>
      </c>
      <c r="N15" s="200">
        <f t="shared" si="26"/>
        <v>934</v>
      </c>
      <c r="O15" s="200">
        <v>934</v>
      </c>
      <c r="P15" s="200"/>
      <c r="Q15" s="200">
        <f t="shared" si="27"/>
        <v>1843</v>
      </c>
      <c r="R15" s="200">
        <v>1843</v>
      </c>
      <c r="S15" s="200"/>
      <c r="T15" s="200">
        <f t="shared" si="28"/>
        <v>421</v>
      </c>
      <c r="U15" s="200">
        <f t="shared" si="29"/>
        <v>0</v>
      </c>
      <c r="V15" s="200">
        <v>0</v>
      </c>
      <c r="W15" s="200"/>
      <c r="X15" s="200">
        <f t="shared" si="30"/>
        <v>421</v>
      </c>
      <c r="Y15" s="200">
        <v>421</v>
      </c>
      <c r="Z15" s="200"/>
      <c r="AA15" s="199">
        <f t="shared" ref="AA15:AA41" si="56">AB15+AC15</f>
        <v>734.91039599999999</v>
      </c>
      <c r="AB15" s="200">
        <f t="shared" ref="AB15:AB41" si="57">AE15+AL15+AS15</f>
        <v>0</v>
      </c>
      <c r="AC15" s="200">
        <f t="shared" ref="AC15:AC41" si="58">AH15+AO15+AV15</f>
        <v>734.91039599999999</v>
      </c>
      <c r="AD15" s="200">
        <f t="shared" ref="AD15:AD40" si="59">AE15+AH15</f>
        <v>0</v>
      </c>
      <c r="AE15" s="200">
        <f t="shared" ref="AE15:AE40" si="60">AF15+AG15</f>
        <v>0</v>
      </c>
      <c r="AF15" s="200"/>
      <c r="AG15" s="200"/>
      <c r="AH15" s="200">
        <f t="shared" ref="AH15:AH40" si="61">AI15+AJ15</f>
        <v>0</v>
      </c>
      <c r="AI15" s="200"/>
      <c r="AJ15" s="200"/>
      <c r="AK15" s="200">
        <f t="shared" si="31"/>
        <v>594.07121400000005</v>
      </c>
      <c r="AL15" s="200">
        <f t="shared" si="32"/>
        <v>0</v>
      </c>
      <c r="AM15" s="200"/>
      <c r="AN15" s="200"/>
      <c r="AO15" s="200">
        <f t="shared" si="33"/>
        <v>594.07121400000005</v>
      </c>
      <c r="AP15" s="200">
        <v>594.07121400000005</v>
      </c>
      <c r="AQ15" s="200"/>
      <c r="AR15" s="200">
        <f t="shared" si="34"/>
        <v>140.83918199999999</v>
      </c>
      <c r="AS15" s="200">
        <f t="shared" si="35"/>
        <v>0</v>
      </c>
      <c r="AT15" s="200"/>
      <c r="AU15" s="200"/>
      <c r="AV15" s="200">
        <f t="shared" si="36"/>
        <v>140.83918199999999</v>
      </c>
      <c r="AW15" s="200">
        <v>140.83918199999999</v>
      </c>
      <c r="AX15" s="200"/>
      <c r="AY15" s="201">
        <f t="shared" si="37"/>
        <v>0.22980312570356473</v>
      </c>
      <c r="AZ15" s="201">
        <f>AB15/D15</f>
        <v>0</v>
      </c>
      <c r="BA15" s="201">
        <f t="shared" si="38"/>
        <v>0.32460706537102474</v>
      </c>
      <c r="BB15" s="201"/>
      <c r="BC15" s="201"/>
      <c r="BD15" s="201"/>
      <c r="BE15" s="201"/>
      <c r="BF15" s="201"/>
      <c r="BG15" s="201"/>
      <c r="BH15" s="201"/>
      <c r="BI15" s="201">
        <f t="shared" si="42"/>
        <v>0.21392553619013327</v>
      </c>
      <c r="BJ15" s="201">
        <f t="shared" ref="BJ15:BJ20" si="62">AL15/N15</f>
        <v>0</v>
      </c>
      <c r="BK15" s="201">
        <f t="shared" ref="BK15:BK20" si="63">AM15/O15</f>
        <v>0</v>
      </c>
      <c r="BL15" s="201"/>
      <c r="BM15" s="201">
        <f t="shared" si="43"/>
        <v>0.32233923711340207</v>
      </c>
      <c r="BN15" s="201">
        <f t="shared" si="44"/>
        <v>0.32233923711340207</v>
      </c>
      <c r="BO15" s="201"/>
      <c r="BP15" s="201">
        <f t="shared" si="45"/>
        <v>0.33453487410926364</v>
      </c>
      <c r="BQ15" s="201"/>
      <c r="BR15" s="201"/>
      <c r="BS15" s="201"/>
      <c r="BT15" s="201">
        <f t="shared" si="48"/>
        <v>0.33453487410926364</v>
      </c>
      <c r="BU15" s="201">
        <f t="shared" si="49"/>
        <v>0.33453487410926364</v>
      </c>
      <c r="BV15" s="201"/>
    </row>
    <row r="16" spans="1:74">
      <c r="A16" s="190">
        <v>3</v>
      </c>
      <c r="B16" s="191" t="s">
        <v>228</v>
      </c>
      <c r="C16" s="199">
        <f t="shared" si="50"/>
        <v>8100</v>
      </c>
      <c r="D16" s="200">
        <f t="shared" si="51"/>
        <v>1785</v>
      </c>
      <c r="E16" s="200">
        <f t="shared" si="52"/>
        <v>6315</v>
      </c>
      <c r="F16" s="200">
        <f t="shared" si="53"/>
        <v>0</v>
      </c>
      <c r="G16" s="200">
        <f t="shared" si="54"/>
        <v>0</v>
      </c>
      <c r="H16" s="200"/>
      <c r="I16" s="200"/>
      <c r="J16" s="200">
        <f t="shared" si="55"/>
        <v>0</v>
      </c>
      <c r="K16" s="200"/>
      <c r="L16" s="200"/>
      <c r="M16" s="200">
        <f t="shared" si="25"/>
        <v>0</v>
      </c>
      <c r="N16" s="200">
        <f t="shared" si="26"/>
        <v>0</v>
      </c>
      <c r="O16" s="200">
        <v>0</v>
      </c>
      <c r="P16" s="200"/>
      <c r="Q16" s="200">
        <f t="shared" si="27"/>
        <v>0</v>
      </c>
      <c r="R16" s="200">
        <v>0</v>
      </c>
      <c r="S16" s="200"/>
      <c r="T16" s="200">
        <f t="shared" si="28"/>
        <v>8100</v>
      </c>
      <c r="U16" s="200">
        <f t="shared" si="29"/>
        <v>1785</v>
      </c>
      <c r="V16" s="200">
        <v>1785</v>
      </c>
      <c r="W16" s="200"/>
      <c r="X16" s="200">
        <f t="shared" si="30"/>
        <v>6315</v>
      </c>
      <c r="Y16" s="200">
        <v>6315</v>
      </c>
      <c r="Z16" s="200"/>
      <c r="AA16" s="199">
        <f t="shared" si="56"/>
        <v>3791.8084499999995</v>
      </c>
      <c r="AB16" s="200">
        <f t="shared" si="57"/>
        <v>0</v>
      </c>
      <c r="AC16" s="200">
        <f t="shared" si="58"/>
        <v>3791.8084499999995</v>
      </c>
      <c r="AD16" s="200">
        <f t="shared" si="59"/>
        <v>0</v>
      </c>
      <c r="AE16" s="200">
        <f t="shared" si="60"/>
        <v>0</v>
      </c>
      <c r="AF16" s="200"/>
      <c r="AG16" s="200"/>
      <c r="AH16" s="200">
        <f t="shared" si="61"/>
        <v>0</v>
      </c>
      <c r="AI16" s="200"/>
      <c r="AJ16" s="200"/>
      <c r="AK16" s="200">
        <f t="shared" si="31"/>
        <v>0</v>
      </c>
      <c r="AL16" s="200">
        <f t="shared" si="32"/>
        <v>0</v>
      </c>
      <c r="AM16" s="200"/>
      <c r="AN16" s="200"/>
      <c r="AO16" s="200">
        <f t="shared" si="33"/>
        <v>0</v>
      </c>
      <c r="AP16" s="200"/>
      <c r="AQ16" s="200"/>
      <c r="AR16" s="200">
        <f t="shared" si="34"/>
        <v>3791.8084499999995</v>
      </c>
      <c r="AS16" s="200">
        <f t="shared" si="35"/>
        <v>0</v>
      </c>
      <c r="AT16" s="200"/>
      <c r="AU16" s="200"/>
      <c r="AV16" s="200">
        <f t="shared" si="36"/>
        <v>3791.8084499999995</v>
      </c>
      <c r="AW16" s="200">
        <v>3791.8084499999995</v>
      </c>
      <c r="AX16" s="200"/>
      <c r="AY16" s="201">
        <f t="shared" si="37"/>
        <v>0.46812449999999994</v>
      </c>
      <c r="AZ16" s="201">
        <f>AB16/D16</f>
        <v>0</v>
      </c>
      <c r="BA16" s="201">
        <f t="shared" si="38"/>
        <v>0.60044472684085504</v>
      </c>
      <c r="BB16" s="201"/>
      <c r="BC16" s="201"/>
      <c r="BD16" s="201"/>
      <c r="BE16" s="201"/>
      <c r="BF16" s="201"/>
      <c r="BG16" s="201"/>
      <c r="BH16" s="201"/>
      <c r="BI16" s="201"/>
      <c r="BJ16" s="201"/>
      <c r="BK16" s="201"/>
      <c r="BL16" s="201"/>
      <c r="BM16" s="201"/>
      <c r="BN16" s="201"/>
      <c r="BO16" s="201"/>
      <c r="BP16" s="201">
        <f t="shared" si="45"/>
        <v>0.46812449999999994</v>
      </c>
      <c r="BQ16" s="201">
        <f t="shared" si="46"/>
        <v>0</v>
      </c>
      <c r="BR16" s="201">
        <f t="shared" si="47"/>
        <v>0</v>
      </c>
      <c r="BS16" s="201"/>
      <c r="BT16" s="201">
        <f t="shared" si="48"/>
        <v>0.60044472684085504</v>
      </c>
      <c r="BU16" s="201">
        <f t="shared" si="49"/>
        <v>0.60044472684085504</v>
      </c>
      <c r="BV16" s="201"/>
    </row>
    <row r="17" spans="1:74">
      <c r="A17" s="190">
        <v>4</v>
      </c>
      <c r="B17" s="191" t="s">
        <v>735</v>
      </c>
      <c r="C17" s="199">
        <f t="shared" si="50"/>
        <v>147</v>
      </c>
      <c r="D17" s="200">
        <f t="shared" si="51"/>
        <v>0</v>
      </c>
      <c r="E17" s="200">
        <f t="shared" si="52"/>
        <v>147</v>
      </c>
      <c r="F17" s="200">
        <f t="shared" si="53"/>
        <v>0</v>
      </c>
      <c r="G17" s="200">
        <f t="shared" si="54"/>
        <v>0</v>
      </c>
      <c r="H17" s="200"/>
      <c r="I17" s="200"/>
      <c r="J17" s="200">
        <f t="shared" si="55"/>
        <v>0</v>
      </c>
      <c r="K17" s="200"/>
      <c r="L17" s="200"/>
      <c r="M17" s="200">
        <f t="shared" si="25"/>
        <v>0</v>
      </c>
      <c r="N17" s="200">
        <f t="shared" si="26"/>
        <v>0</v>
      </c>
      <c r="O17" s="200">
        <v>0</v>
      </c>
      <c r="P17" s="200"/>
      <c r="Q17" s="200">
        <f t="shared" si="27"/>
        <v>0</v>
      </c>
      <c r="R17" s="200">
        <v>0</v>
      </c>
      <c r="S17" s="200"/>
      <c r="T17" s="200">
        <f t="shared" si="28"/>
        <v>147</v>
      </c>
      <c r="U17" s="200">
        <f t="shared" si="29"/>
        <v>0</v>
      </c>
      <c r="V17" s="200">
        <v>0</v>
      </c>
      <c r="W17" s="200"/>
      <c r="X17" s="200">
        <f t="shared" si="30"/>
        <v>147</v>
      </c>
      <c r="Y17" s="200">
        <v>147</v>
      </c>
      <c r="Z17" s="200"/>
      <c r="AA17" s="199">
        <f t="shared" si="56"/>
        <v>143.80000000000001</v>
      </c>
      <c r="AB17" s="200">
        <f t="shared" si="57"/>
        <v>0</v>
      </c>
      <c r="AC17" s="200">
        <f t="shared" si="58"/>
        <v>143.80000000000001</v>
      </c>
      <c r="AD17" s="200">
        <f t="shared" si="59"/>
        <v>0</v>
      </c>
      <c r="AE17" s="200">
        <f t="shared" si="60"/>
        <v>0</v>
      </c>
      <c r="AF17" s="200"/>
      <c r="AG17" s="200"/>
      <c r="AH17" s="200">
        <f t="shared" si="61"/>
        <v>0</v>
      </c>
      <c r="AI17" s="200"/>
      <c r="AJ17" s="200"/>
      <c r="AK17" s="200">
        <f t="shared" si="31"/>
        <v>0</v>
      </c>
      <c r="AL17" s="200">
        <f t="shared" si="32"/>
        <v>0</v>
      </c>
      <c r="AM17" s="200"/>
      <c r="AN17" s="200"/>
      <c r="AO17" s="200">
        <f t="shared" si="33"/>
        <v>0</v>
      </c>
      <c r="AP17" s="200"/>
      <c r="AQ17" s="200"/>
      <c r="AR17" s="200">
        <f t="shared" si="34"/>
        <v>143.80000000000001</v>
      </c>
      <c r="AS17" s="200">
        <f t="shared" si="35"/>
        <v>0</v>
      </c>
      <c r="AT17" s="200"/>
      <c r="AU17" s="200"/>
      <c r="AV17" s="200">
        <f t="shared" si="36"/>
        <v>143.80000000000001</v>
      </c>
      <c r="AW17" s="200">
        <v>143.80000000000001</v>
      </c>
      <c r="AX17" s="200"/>
      <c r="AY17" s="201">
        <f t="shared" si="37"/>
        <v>0.97823129251700691</v>
      </c>
      <c r="AZ17" s="201"/>
      <c r="BA17" s="201">
        <f t="shared" si="38"/>
        <v>0.97823129251700691</v>
      </c>
      <c r="BB17" s="201"/>
      <c r="BC17" s="201"/>
      <c r="BD17" s="201"/>
      <c r="BE17" s="201"/>
      <c r="BF17" s="201"/>
      <c r="BG17" s="201"/>
      <c r="BH17" s="201"/>
      <c r="BI17" s="201"/>
      <c r="BJ17" s="201"/>
      <c r="BK17" s="201"/>
      <c r="BL17" s="201"/>
      <c r="BM17" s="201"/>
      <c r="BN17" s="201"/>
      <c r="BO17" s="201"/>
      <c r="BP17" s="201">
        <f t="shared" si="45"/>
        <v>0.97823129251700691</v>
      </c>
      <c r="BQ17" s="201"/>
      <c r="BR17" s="201"/>
      <c r="BS17" s="201"/>
      <c r="BT17" s="201">
        <f t="shared" si="48"/>
        <v>0.97823129251700691</v>
      </c>
      <c r="BU17" s="201">
        <f t="shared" si="49"/>
        <v>0.97823129251700691</v>
      </c>
      <c r="BV17" s="201"/>
    </row>
    <row r="18" spans="1:74">
      <c r="A18" s="190">
        <v>5</v>
      </c>
      <c r="B18" s="191" t="s">
        <v>221</v>
      </c>
      <c r="C18" s="199">
        <f t="shared" si="50"/>
        <v>34830</v>
      </c>
      <c r="D18" s="200">
        <f t="shared" si="51"/>
        <v>20464</v>
      </c>
      <c r="E18" s="200">
        <f t="shared" si="52"/>
        <v>14366</v>
      </c>
      <c r="F18" s="200">
        <f t="shared" si="53"/>
        <v>0</v>
      </c>
      <c r="G18" s="200">
        <f t="shared" si="54"/>
        <v>0</v>
      </c>
      <c r="H18" s="200"/>
      <c r="I18" s="200"/>
      <c r="J18" s="200">
        <f t="shared" si="55"/>
        <v>0</v>
      </c>
      <c r="K18" s="200"/>
      <c r="L18" s="200"/>
      <c r="M18" s="200">
        <f t="shared" si="25"/>
        <v>0</v>
      </c>
      <c r="N18" s="200">
        <f t="shared" si="26"/>
        <v>0</v>
      </c>
      <c r="O18" s="200">
        <v>0</v>
      </c>
      <c r="P18" s="200"/>
      <c r="Q18" s="200">
        <f t="shared" si="27"/>
        <v>0</v>
      </c>
      <c r="R18" s="200">
        <v>0</v>
      </c>
      <c r="S18" s="200"/>
      <c r="T18" s="200">
        <f t="shared" si="28"/>
        <v>34830</v>
      </c>
      <c r="U18" s="200">
        <f t="shared" si="29"/>
        <v>20464</v>
      </c>
      <c r="V18" s="200">
        <v>20464</v>
      </c>
      <c r="W18" s="200"/>
      <c r="X18" s="200">
        <f t="shared" si="30"/>
        <v>14366</v>
      </c>
      <c r="Y18" s="200">
        <v>14366</v>
      </c>
      <c r="Z18" s="200"/>
      <c r="AA18" s="199">
        <f t="shared" si="56"/>
        <v>50.5</v>
      </c>
      <c r="AB18" s="200">
        <f t="shared" si="57"/>
        <v>0</v>
      </c>
      <c r="AC18" s="200">
        <f t="shared" si="58"/>
        <v>50.5</v>
      </c>
      <c r="AD18" s="200">
        <f t="shared" si="59"/>
        <v>0</v>
      </c>
      <c r="AE18" s="200">
        <f t="shared" si="60"/>
        <v>0</v>
      </c>
      <c r="AF18" s="200"/>
      <c r="AG18" s="200"/>
      <c r="AH18" s="200">
        <f t="shared" si="61"/>
        <v>0</v>
      </c>
      <c r="AI18" s="200"/>
      <c r="AJ18" s="200"/>
      <c r="AK18" s="200">
        <f t="shared" si="31"/>
        <v>0</v>
      </c>
      <c r="AL18" s="200">
        <f t="shared" si="32"/>
        <v>0</v>
      </c>
      <c r="AM18" s="200"/>
      <c r="AN18" s="200"/>
      <c r="AO18" s="200">
        <f t="shared" si="33"/>
        <v>0</v>
      </c>
      <c r="AP18" s="200"/>
      <c r="AQ18" s="200"/>
      <c r="AR18" s="200">
        <f t="shared" si="34"/>
        <v>50.5</v>
      </c>
      <c r="AS18" s="200">
        <f t="shared" si="35"/>
        <v>0</v>
      </c>
      <c r="AT18" s="200"/>
      <c r="AU18" s="200"/>
      <c r="AV18" s="200">
        <f t="shared" si="36"/>
        <v>50.5</v>
      </c>
      <c r="AW18" s="200">
        <v>50.5</v>
      </c>
      <c r="AX18" s="200"/>
      <c r="AY18" s="201">
        <f t="shared" si="37"/>
        <v>1.4498995119150157E-3</v>
      </c>
      <c r="AZ18" s="201">
        <f t="shared" ref="AZ18:AZ32" si="64">AB18/D18</f>
        <v>0</v>
      </c>
      <c r="BA18" s="201">
        <f t="shared" si="38"/>
        <v>3.5152443268829181E-3</v>
      </c>
      <c r="BB18" s="201"/>
      <c r="BC18" s="201"/>
      <c r="BD18" s="201"/>
      <c r="BE18" s="201"/>
      <c r="BF18" s="201"/>
      <c r="BG18" s="201"/>
      <c r="BH18" s="201"/>
      <c r="BI18" s="201"/>
      <c r="BJ18" s="201"/>
      <c r="BK18" s="201"/>
      <c r="BL18" s="201"/>
      <c r="BM18" s="201"/>
      <c r="BN18" s="201"/>
      <c r="BO18" s="201"/>
      <c r="BP18" s="201">
        <f t="shared" si="45"/>
        <v>1.4498995119150157E-3</v>
      </c>
      <c r="BQ18" s="201">
        <f t="shared" si="46"/>
        <v>0</v>
      </c>
      <c r="BR18" s="201">
        <f t="shared" si="47"/>
        <v>0</v>
      </c>
      <c r="BS18" s="201"/>
      <c r="BT18" s="201">
        <f t="shared" si="48"/>
        <v>3.5152443268829181E-3</v>
      </c>
      <c r="BU18" s="201">
        <f t="shared" si="49"/>
        <v>3.5152443268829181E-3</v>
      </c>
      <c r="BV18" s="201"/>
    </row>
    <row r="19" spans="1:74">
      <c r="A19" s="190">
        <v>6</v>
      </c>
      <c r="B19" s="191" t="s">
        <v>227</v>
      </c>
      <c r="C19" s="199">
        <f t="shared" si="50"/>
        <v>581</v>
      </c>
      <c r="D19" s="200">
        <f t="shared" si="51"/>
        <v>0</v>
      </c>
      <c r="E19" s="200">
        <f t="shared" si="52"/>
        <v>581</v>
      </c>
      <c r="F19" s="200">
        <f t="shared" si="53"/>
        <v>0</v>
      </c>
      <c r="G19" s="200">
        <f t="shared" si="54"/>
        <v>0</v>
      </c>
      <c r="H19" s="200"/>
      <c r="I19" s="200"/>
      <c r="J19" s="200">
        <f t="shared" si="55"/>
        <v>0</v>
      </c>
      <c r="K19" s="200"/>
      <c r="L19" s="200"/>
      <c r="M19" s="200">
        <f t="shared" si="25"/>
        <v>0</v>
      </c>
      <c r="N19" s="200">
        <f t="shared" si="26"/>
        <v>0</v>
      </c>
      <c r="O19" s="200">
        <v>0</v>
      </c>
      <c r="P19" s="200"/>
      <c r="Q19" s="200">
        <f t="shared" si="27"/>
        <v>0</v>
      </c>
      <c r="R19" s="200">
        <v>0</v>
      </c>
      <c r="S19" s="200"/>
      <c r="T19" s="200">
        <f t="shared" si="28"/>
        <v>581</v>
      </c>
      <c r="U19" s="200">
        <f t="shared" si="29"/>
        <v>0</v>
      </c>
      <c r="V19" s="200">
        <v>0</v>
      </c>
      <c r="W19" s="200"/>
      <c r="X19" s="200">
        <f t="shared" si="30"/>
        <v>581</v>
      </c>
      <c r="Y19" s="200">
        <v>581</v>
      </c>
      <c r="Z19" s="200"/>
      <c r="AA19" s="199">
        <f t="shared" si="56"/>
        <v>387.096</v>
      </c>
      <c r="AB19" s="200">
        <f t="shared" si="57"/>
        <v>0</v>
      </c>
      <c r="AC19" s="200">
        <f t="shared" si="58"/>
        <v>387.096</v>
      </c>
      <c r="AD19" s="200">
        <f t="shared" si="59"/>
        <v>0</v>
      </c>
      <c r="AE19" s="200">
        <f t="shared" si="60"/>
        <v>0</v>
      </c>
      <c r="AF19" s="200"/>
      <c r="AG19" s="200"/>
      <c r="AH19" s="200">
        <f t="shared" si="61"/>
        <v>0</v>
      </c>
      <c r="AI19" s="200"/>
      <c r="AJ19" s="200"/>
      <c r="AK19" s="200">
        <f t="shared" si="31"/>
        <v>0</v>
      </c>
      <c r="AL19" s="200">
        <f t="shared" si="32"/>
        <v>0</v>
      </c>
      <c r="AM19" s="200"/>
      <c r="AN19" s="200"/>
      <c r="AO19" s="200">
        <f t="shared" si="33"/>
        <v>0</v>
      </c>
      <c r="AP19" s="200"/>
      <c r="AQ19" s="200"/>
      <c r="AR19" s="200">
        <f t="shared" si="34"/>
        <v>387.096</v>
      </c>
      <c r="AS19" s="200">
        <f t="shared" si="35"/>
        <v>0</v>
      </c>
      <c r="AT19" s="200"/>
      <c r="AU19" s="200"/>
      <c r="AV19" s="200">
        <f t="shared" si="36"/>
        <v>387.096</v>
      </c>
      <c r="AW19" s="200">
        <v>387.096</v>
      </c>
      <c r="AX19" s="200"/>
      <c r="AY19" s="201">
        <f t="shared" si="37"/>
        <v>0.66625817555938038</v>
      </c>
      <c r="AZ19" s="201"/>
      <c r="BA19" s="201">
        <f t="shared" si="38"/>
        <v>0.66625817555938038</v>
      </c>
      <c r="BB19" s="201"/>
      <c r="BC19" s="201"/>
      <c r="BD19" s="201"/>
      <c r="BE19" s="201"/>
      <c r="BF19" s="201"/>
      <c r="BG19" s="201"/>
      <c r="BH19" s="201"/>
      <c r="BI19" s="201"/>
      <c r="BJ19" s="201"/>
      <c r="BK19" s="201"/>
      <c r="BL19" s="201"/>
      <c r="BM19" s="201"/>
      <c r="BN19" s="201"/>
      <c r="BO19" s="201"/>
      <c r="BP19" s="201">
        <f t="shared" si="45"/>
        <v>0.66625817555938038</v>
      </c>
      <c r="BQ19" s="201"/>
      <c r="BR19" s="201"/>
      <c r="BS19" s="201"/>
      <c r="BT19" s="201">
        <f t="shared" si="48"/>
        <v>0.66625817555938038</v>
      </c>
      <c r="BU19" s="201">
        <f t="shared" si="49"/>
        <v>0.66625817555938038</v>
      </c>
      <c r="BV19" s="201"/>
    </row>
    <row r="20" spans="1:74" ht="25.5">
      <c r="A20" s="190">
        <v>7</v>
      </c>
      <c r="B20" s="191" t="s">
        <v>283</v>
      </c>
      <c r="C20" s="199">
        <f t="shared" si="50"/>
        <v>24696</v>
      </c>
      <c r="D20" s="200">
        <f t="shared" si="51"/>
        <v>21483</v>
      </c>
      <c r="E20" s="200">
        <f t="shared" si="52"/>
        <v>3213</v>
      </c>
      <c r="F20" s="200">
        <f t="shared" si="53"/>
        <v>0</v>
      </c>
      <c r="G20" s="200">
        <f t="shared" si="54"/>
        <v>0</v>
      </c>
      <c r="H20" s="200"/>
      <c r="I20" s="200"/>
      <c r="J20" s="200">
        <f t="shared" si="55"/>
        <v>0</v>
      </c>
      <c r="K20" s="200"/>
      <c r="L20" s="200"/>
      <c r="M20" s="200">
        <f t="shared" si="25"/>
        <v>24696</v>
      </c>
      <c r="N20" s="200">
        <f t="shared" si="26"/>
        <v>21483</v>
      </c>
      <c r="O20" s="200">
        <v>21483</v>
      </c>
      <c r="P20" s="200"/>
      <c r="Q20" s="200">
        <f t="shared" si="27"/>
        <v>3213</v>
      </c>
      <c r="R20" s="200">
        <v>3213</v>
      </c>
      <c r="S20" s="200"/>
      <c r="T20" s="200">
        <f t="shared" si="28"/>
        <v>0</v>
      </c>
      <c r="U20" s="200">
        <f t="shared" si="29"/>
        <v>0</v>
      </c>
      <c r="V20" s="200">
        <v>0</v>
      </c>
      <c r="W20" s="200"/>
      <c r="X20" s="200">
        <f t="shared" si="30"/>
        <v>0</v>
      </c>
      <c r="Y20" s="200">
        <v>0</v>
      </c>
      <c r="Z20" s="200"/>
      <c r="AA20" s="199">
        <f t="shared" si="56"/>
        <v>5972.5118729999995</v>
      </c>
      <c r="AB20" s="200">
        <f t="shared" si="57"/>
        <v>3254.3563709999999</v>
      </c>
      <c r="AC20" s="200">
        <f t="shared" si="58"/>
        <v>2718.1555020000001</v>
      </c>
      <c r="AD20" s="200">
        <f t="shared" si="59"/>
        <v>0</v>
      </c>
      <c r="AE20" s="200">
        <f t="shared" si="60"/>
        <v>0</v>
      </c>
      <c r="AF20" s="200"/>
      <c r="AG20" s="200"/>
      <c r="AH20" s="200">
        <f t="shared" si="61"/>
        <v>0</v>
      </c>
      <c r="AI20" s="200"/>
      <c r="AJ20" s="200"/>
      <c r="AK20" s="200">
        <f t="shared" si="31"/>
        <v>5972.5118729999995</v>
      </c>
      <c r="AL20" s="200">
        <f t="shared" si="32"/>
        <v>3254.3563709999999</v>
      </c>
      <c r="AM20" s="200">
        <v>3254.3563709999999</v>
      </c>
      <c r="AN20" s="200"/>
      <c r="AO20" s="200">
        <f t="shared" si="33"/>
        <v>2718.1555020000001</v>
      </c>
      <c r="AP20" s="200">
        <v>2718.1555020000001</v>
      </c>
      <c r="AQ20" s="200"/>
      <c r="AR20" s="200">
        <f t="shared" si="34"/>
        <v>0</v>
      </c>
      <c r="AS20" s="200">
        <f t="shared" si="35"/>
        <v>0</v>
      </c>
      <c r="AT20" s="200"/>
      <c r="AU20" s="200"/>
      <c r="AV20" s="200">
        <f t="shared" si="36"/>
        <v>0</v>
      </c>
      <c r="AW20" s="200"/>
      <c r="AX20" s="200"/>
      <c r="AY20" s="201">
        <f t="shared" si="37"/>
        <v>0.24184126469873662</v>
      </c>
      <c r="AZ20" s="201">
        <f t="shared" si="64"/>
        <v>0.15148519159335289</v>
      </c>
      <c r="BA20" s="201">
        <f t="shared" si="38"/>
        <v>0.84598677310924375</v>
      </c>
      <c r="BB20" s="201"/>
      <c r="BC20" s="201"/>
      <c r="BD20" s="201"/>
      <c r="BE20" s="201"/>
      <c r="BF20" s="201"/>
      <c r="BG20" s="201"/>
      <c r="BH20" s="201"/>
      <c r="BI20" s="201">
        <f t="shared" si="42"/>
        <v>0.24184126469873662</v>
      </c>
      <c r="BJ20" s="201">
        <f t="shared" si="62"/>
        <v>0.15148519159335289</v>
      </c>
      <c r="BK20" s="201">
        <f t="shared" si="63"/>
        <v>0.15148519159335289</v>
      </c>
      <c r="BL20" s="201"/>
      <c r="BM20" s="201">
        <f t="shared" si="43"/>
        <v>0.84598677310924375</v>
      </c>
      <c r="BN20" s="201">
        <f t="shared" si="44"/>
        <v>0.84598677310924375</v>
      </c>
      <c r="BO20" s="201"/>
      <c r="BP20" s="201"/>
      <c r="BQ20" s="201"/>
      <c r="BR20" s="201"/>
      <c r="BS20" s="201"/>
      <c r="BT20" s="201"/>
      <c r="BU20" s="201"/>
      <c r="BV20" s="201"/>
    </row>
    <row r="21" spans="1:74" ht="25.5">
      <c r="A21" s="190">
        <v>8</v>
      </c>
      <c r="B21" s="191" t="s">
        <v>219</v>
      </c>
      <c r="C21" s="199">
        <f t="shared" si="50"/>
        <v>6867</v>
      </c>
      <c r="D21" s="200">
        <f t="shared" si="51"/>
        <v>4664</v>
      </c>
      <c r="E21" s="200">
        <f t="shared" si="52"/>
        <v>2203</v>
      </c>
      <c r="F21" s="200">
        <f t="shared" si="53"/>
        <v>500</v>
      </c>
      <c r="G21" s="200">
        <f t="shared" si="54"/>
        <v>0</v>
      </c>
      <c r="H21" s="200"/>
      <c r="I21" s="200"/>
      <c r="J21" s="200">
        <f t="shared" si="55"/>
        <v>500</v>
      </c>
      <c r="K21" s="200">
        <v>500</v>
      </c>
      <c r="L21" s="200"/>
      <c r="M21" s="200">
        <f t="shared" si="25"/>
        <v>0</v>
      </c>
      <c r="N21" s="200">
        <f t="shared" si="26"/>
        <v>0</v>
      </c>
      <c r="O21" s="200">
        <v>0</v>
      </c>
      <c r="P21" s="200"/>
      <c r="Q21" s="200">
        <f t="shared" si="27"/>
        <v>0</v>
      </c>
      <c r="R21" s="200">
        <v>0</v>
      </c>
      <c r="S21" s="200"/>
      <c r="T21" s="200">
        <f t="shared" si="28"/>
        <v>6367</v>
      </c>
      <c r="U21" s="200">
        <f t="shared" si="29"/>
        <v>4664</v>
      </c>
      <c r="V21" s="200">
        <v>4664</v>
      </c>
      <c r="W21" s="200"/>
      <c r="X21" s="200">
        <f t="shared" si="30"/>
        <v>1703</v>
      </c>
      <c r="Y21" s="200">
        <v>1703</v>
      </c>
      <c r="Z21" s="200"/>
      <c r="AA21" s="199">
        <f t="shared" si="56"/>
        <v>1963.5376000000001</v>
      </c>
      <c r="AB21" s="200">
        <f t="shared" si="57"/>
        <v>0</v>
      </c>
      <c r="AC21" s="200">
        <f t="shared" si="58"/>
        <v>1963.5376000000001</v>
      </c>
      <c r="AD21" s="200">
        <f t="shared" si="59"/>
        <v>286.80399999999997</v>
      </c>
      <c r="AE21" s="200">
        <f t="shared" si="60"/>
        <v>0</v>
      </c>
      <c r="AF21" s="200"/>
      <c r="AG21" s="200"/>
      <c r="AH21" s="200">
        <f t="shared" si="61"/>
        <v>286.80399999999997</v>
      </c>
      <c r="AI21" s="200">
        <v>286.80399999999997</v>
      </c>
      <c r="AJ21" s="200"/>
      <c r="AK21" s="200">
        <f t="shared" si="31"/>
        <v>0</v>
      </c>
      <c r="AL21" s="200">
        <f t="shared" si="32"/>
        <v>0</v>
      </c>
      <c r="AM21" s="200"/>
      <c r="AN21" s="200"/>
      <c r="AO21" s="200">
        <f t="shared" si="33"/>
        <v>0</v>
      </c>
      <c r="AP21" s="200"/>
      <c r="AQ21" s="200"/>
      <c r="AR21" s="200">
        <f t="shared" si="34"/>
        <v>1676.7336</v>
      </c>
      <c r="AS21" s="200">
        <f t="shared" si="35"/>
        <v>0</v>
      </c>
      <c r="AT21" s="200"/>
      <c r="AU21" s="200"/>
      <c r="AV21" s="200">
        <f t="shared" si="36"/>
        <v>1676.7336</v>
      </c>
      <c r="AW21" s="200">
        <v>1676.7336</v>
      </c>
      <c r="AX21" s="200"/>
      <c r="AY21" s="201">
        <f t="shared" si="37"/>
        <v>0.28593819717489444</v>
      </c>
      <c r="AZ21" s="201">
        <f t="shared" si="64"/>
        <v>0</v>
      </c>
      <c r="BA21" s="201">
        <f t="shared" si="38"/>
        <v>0.8913016795279165</v>
      </c>
      <c r="BB21" s="201">
        <f t="shared" si="39"/>
        <v>0.5736079999999999</v>
      </c>
      <c r="BC21" s="201"/>
      <c r="BD21" s="201"/>
      <c r="BE21" s="201"/>
      <c r="BF21" s="201">
        <f t="shared" si="40"/>
        <v>0.5736079999999999</v>
      </c>
      <c r="BG21" s="201">
        <f t="shared" si="41"/>
        <v>0.5736079999999999</v>
      </c>
      <c r="BH21" s="201"/>
      <c r="BI21" s="201"/>
      <c r="BJ21" s="201"/>
      <c r="BK21" s="201"/>
      <c r="BL21" s="201"/>
      <c r="BM21" s="201"/>
      <c r="BN21" s="201"/>
      <c r="BO21" s="201"/>
      <c r="BP21" s="201">
        <f t="shared" si="45"/>
        <v>0.26334751060153921</v>
      </c>
      <c r="BQ21" s="201">
        <f t="shared" si="46"/>
        <v>0</v>
      </c>
      <c r="BR21" s="201">
        <f t="shared" si="47"/>
        <v>0</v>
      </c>
      <c r="BS21" s="201"/>
      <c r="BT21" s="201">
        <f t="shared" si="48"/>
        <v>0.98457639459776869</v>
      </c>
      <c r="BU21" s="201">
        <f t="shared" si="49"/>
        <v>0.98457639459776869</v>
      </c>
      <c r="BV21" s="201"/>
    </row>
    <row r="22" spans="1:74" ht="25.5">
      <c r="A22" s="190">
        <v>9</v>
      </c>
      <c r="B22" s="191" t="s">
        <v>277</v>
      </c>
      <c r="C22" s="199">
        <f t="shared" si="50"/>
        <v>1000</v>
      </c>
      <c r="D22" s="200">
        <f t="shared" si="51"/>
        <v>0</v>
      </c>
      <c r="E22" s="200">
        <f t="shared" si="52"/>
        <v>1000</v>
      </c>
      <c r="F22" s="200">
        <f t="shared" si="53"/>
        <v>1000</v>
      </c>
      <c r="G22" s="200">
        <f t="shared" si="54"/>
        <v>0</v>
      </c>
      <c r="H22" s="200"/>
      <c r="I22" s="200"/>
      <c r="J22" s="200">
        <f t="shared" si="55"/>
        <v>1000</v>
      </c>
      <c r="K22" s="200">
        <v>1000</v>
      </c>
      <c r="L22" s="200"/>
      <c r="M22" s="200">
        <f t="shared" si="25"/>
        <v>0</v>
      </c>
      <c r="N22" s="200">
        <f t="shared" si="26"/>
        <v>0</v>
      </c>
      <c r="O22" s="200">
        <v>0</v>
      </c>
      <c r="P22" s="200"/>
      <c r="Q22" s="200">
        <f t="shared" si="27"/>
        <v>0</v>
      </c>
      <c r="R22" s="200">
        <v>0</v>
      </c>
      <c r="S22" s="200"/>
      <c r="T22" s="200">
        <f t="shared" si="28"/>
        <v>0</v>
      </c>
      <c r="U22" s="200">
        <f t="shared" si="29"/>
        <v>0</v>
      </c>
      <c r="V22" s="200">
        <v>0</v>
      </c>
      <c r="W22" s="200"/>
      <c r="X22" s="200">
        <f t="shared" si="30"/>
        <v>0</v>
      </c>
      <c r="Y22" s="200">
        <v>0</v>
      </c>
      <c r="Z22" s="200"/>
      <c r="AA22" s="199">
        <f t="shared" si="56"/>
        <v>595</v>
      </c>
      <c r="AB22" s="200">
        <f t="shared" si="57"/>
        <v>0</v>
      </c>
      <c r="AC22" s="200">
        <f t="shared" si="58"/>
        <v>595</v>
      </c>
      <c r="AD22" s="200">
        <f t="shared" si="59"/>
        <v>595</v>
      </c>
      <c r="AE22" s="200">
        <f t="shared" si="60"/>
        <v>0</v>
      </c>
      <c r="AF22" s="200"/>
      <c r="AG22" s="200"/>
      <c r="AH22" s="200">
        <f t="shared" si="61"/>
        <v>595</v>
      </c>
      <c r="AI22" s="200">
        <v>595</v>
      </c>
      <c r="AJ22" s="200"/>
      <c r="AK22" s="200">
        <f t="shared" si="31"/>
        <v>0</v>
      </c>
      <c r="AL22" s="200">
        <f t="shared" si="32"/>
        <v>0</v>
      </c>
      <c r="AM22" s="200"/>
      <c r="AN22" s="200"/>
      <c r="AO22" s="200">
        <f t="shared" si="33"/>
        <v>0</v>
      </c>
      <c r="AP22" s="200"/>
      <c r="AQ22" s="200"/>
      <c r="AR22" s="200">
        <f t="shared" si="34"/>
        <v>0</v>
      </c>
      <c r="AS22" s="200">
        <f t="shared" si="35"/>
        <v>0</v>
      </c>
      <c r="AT22" s="200"/>
      <c r="AU22" s="200"/>
      <c r="AV22" s="200">
        <f t="shared" si="36"/>
        <v>0</v>
      </c>
      <c r="AW22" s="200"/>
      <c r="AX22" s="200"/>
      <c r="AY22" s="201">
        <f t="shared" si="37"/>
        <v>0.59499999999999997</v>
      </c>
      <c r="AZ22" s="201"/>
      <c r="BA22" s="201">
        <f t="shared" si="38"/>
        <v>0.59499999999999997</v>
      </c>
      <c r="BB22" s="201">
        <f t="shared" si="39"/>
        <v>0.59499999999999997</v>
      </c>
      <c r="BC22" s="201"/>
      <c r="BD22" s="201"/>
      <c r="BE22" s="201"/>
      <c r="BF22" s="201">
        <f t="shared" si="40"/>
        <v>0.59499999999999997</v>
      </c>
      <c r="BG22" s="201">
        <f t="shared" si="41"/>
        <v>0.59499999999999997</v>
      </c>
      <c r="BH22" s="201"/>
      <c r="BI22" s="201"/>
      <c r="BJ22" s="201"/>
      <c r="BK22" s="201"/>
      <c r="BL22" s="201"/>
      <c r="BM22" s="201"/>
      <c r="BN22" s="201"/>
      <c r="BO22" s="201"/>
      <c r="BP22" s="201"/>
      <c r="BQ22" s="201"/>
      <c r="BR22" s="201"/>
      <c r="BS22" s="201"/>
      <c r="BT22" s="201"/>
      <c r="BU22" s="201"/>
      <c r="BV22" s="201"/>
    </row>
    <row r="23" spans="1:74">
      <c r="A23" s="190">
        <v>10</v>
      </c>
      <c r="B23" s="191" t="s">
        <v>279</v>
      </c>
      <c r="C23" s="199">
        <f t="shared" si="50"/>
        <v>4546</v>
      </c>
      <c r="D23" s="200">
        <f t="shared" si="51"/>
        <v>0</v>
      </c>
      <c r="E23" s="200">
        <f t="shared" si="52"/>
        <v>4546</v>
      </c>
      <c r="F23" s="200">
        <f t="shared" si="53"/>
        <v>700</v>
      </c>
      <c r="G23" s="200">
        <f t="shared" si="54"/>
        <v>0</v>
      </c>
      <c r="H23" s="200"/>
      <c r="I23" s="200"/>
      <c r="J23" s="200">
        <f t="shared" si="55"/>
        <v>700</v>
      </c>
      <c r="K23" s="200">
        <v>700</v>
      </c>
      <c r="L23" s="200"/>
      <c r="M23" s="200">
        <f t="shared" si="25"/>
        <v>0</v>
      </c>
      <c r="N23" s="200">
        <f t="shared" si="26"/>
        <v>0</v>
      </c>
      <c r="O23" s="200">
        <v>0</v>
      </c>
      <c r="P23" s="200"/>
      <c r="Q23" s="200">
        <f t="shared" si="27"/>
        <v>0</v>
      </c>
      <c r="R23" s="200">
        <v>0</v>
      </c>
      <c r="S23" s="200"/>
      <c r="T23" s="200">
        <f t="shared" si="28"/>
        <v>3846</v>
      </c>
      <c r="U23" s="200">
        <f t="shared" si="29"/>
        <v>0</v>
      </c>
      <c r="V23" s="200">
        <v>0</v>
      </c>
      <c r="W23" s="200"/>
      <c r="X23" s="200">
        <f t="shared" si="30"/>
        <v>3846</v>
      </c>
      <c r="Y23" s="200">
        <v>3846</v>
      </c>
      <c r="Z23" s="200"/>
      <c r="AA23" s="199">
        <f t="shared" si="56"/>
        <v>859.14499999999987</v>
      </c>
      <c r="AB23" s="200">
        <f t="shared" si="57"/>
        <v>0</v>
      </c>
      <c r="AC23" s="200">
        <f t="shared" si="58"/>
        <v>859.14499999999987</v>
      </c>
      <c r="AD23" s="200">
        <f t="shared" si="59"/>
        <v>31.66</v>
      </c>
      <c r="AE23" s="200">
        <f t="shared" si="60"/>
        <v>0</v>
      </c>
      <c r="AF23" s="200"/>
      <c r="AG23" s="200"/>
      <c r="AH23" s="200">
        <f t="shared" si="61"/>
        <v>31.66</v>
      </c>
      <c r="AI23" s="200">
        <v>31.66</v>
      </c>
      <c r="AJ23" s="200"/>
      <c r="AK23" s="200">
        <f t="shared" si="31"/>
        <v>0</v>
      </c>
      <c r="AL23" s="200">
        <f t="shared" si="32"/>
        <v>0</v>
      </c>
      <c r="AM23" s="200"/>
      <c r="AN23" s="200"/>
      <c r="AO23" s="200">
        <f t="shared" si="33"/>
        <v>0</v>
      </c>
      <c r="AP23" s="200"/>
      <c r="AQ23" s="200"/>
      <c r="AR23" s="200">
        <f t="shared" si="34"/>
        <v>827.4849999999999</v>
      </c>
      <c r="AS23" s="200">
        <f t="shared" si="35"/>
        <v>0</v>
      </c>
      <c r="AT23" s="200"/>
      <c r="AU23" s="200"/>
      <c r="AV23" s="200">
        <f t="shared" si="36"/>
        <v>827.4849999999999</v>
      </c>
      <c r="AW23" s="200">
        <v>827.4849999999999</v>
      </c>
      <c r="AX23" s="200"/>
      <c r="AY23" s="201">
        <f t="shared" si="37"/>
        <v>0.18898922129344475</v>
      </c>
      <c r="AZ23" s="201"/>
      <c r="BA23" s="201">
        <f t="shared" si="38"/>
        <v>0.18898922129344475</v>
      </c>
      <c r="BB23" s="201">
        <f t="shared" si="39"/>
        <v>4.522857142857143E-2</v>
      </c>
      <c r="BC23" s="201"/>
      <c r="BD23" s="201"/>
      <c r="BE23" s="201"/>
      <c r="BF23" s="201">
        <f t="shared" si="40"/>
        <v>4.522857142857143E-2</v>
      </c>
      <c r="BG23" s="201">
        <f t="shared" si="41"/>
        <v>4.522857142857143E-2</v>
      </c>
      <c r="BH23" s="201"/>
      <c r="BI23" s="201"/>
      <c r="BJ23" s="201"/>
      <c r="BK23" s="201"/>
      <c r="BL23" s="201"/>
      <c r="BM23" s="201"/>
      <c r="BN23" s="201"/>
      <c r="BO23" s="201"/>
      <c r="BP23" s="201">
        <f t="shared" si="45"/>
        <v>0.2151547061882475</v>
      </c>
      <c r="BQ23" s="201"/>
      <c r="BR23" s="201"/>
      <c r="BS23" s="201"/>
      <c r="BT23" s="201">
        <f t="shared" si="48"/>
        <v>0.2151547061882475</v>
      </c>
      <c r="BU23" s="201">
        <f t="shared" si="49"/>
        <v>0.2151547061882475</v>
      </c>
      <c r="BV23" s="201"/>
    </row>
    <row r="24" spans="1:74">
      <c r="A24" s="190">
        <v>11</v>
      </c>
      <c r="B24" s="191" t="s">
        <v>282</v>
      </c>
      <c r="C24" s="199">
        <f t="shared" si="50"/>
        <v>940</v>
      </c>
      <c r="D24" s="200">
        <f t="shared" si="51"/>
        <v>441</v>
      </c>
      <c r="E24" s="200">
        <f t="shared" si="52"/>
        <v>499</v>
      </c>
      <c r="F24" s="200">
        <f t="shared" si="53"/>
        <v>300</v>
      </c>
      <c r="G24" s="200">
        <f t="shared" si="54"/>
        <v>0</v>
      </c>
      <c r="H24" s="200"/>
      <c r="I24" s="200"/>
      <c r="J24" s="200">
        <f t="shared" si="55"/>
        <v>300</v>
      </c>
      <c r="K24" s="200">
        <v>300</v>
      </c>
      <c r="L24" s="200"/>
      <c r="M24" s="200">
        <f t="shared" si="25"/>
        <v>0</v>
      </c>
      <c r="N24" s="200">
        <f t="shared" si="26"/>
        <v>0</v>
      </c>
      <c r="O24" s="200">
        <v>0</v>
      </c>
      <c r="P24" s="200"/>
      <c r="Q24" s="200">
        <f t="shared" si="27"/>
        <v>0</v>
      </c>
      <c r="R24" s="200">
        <v>0</v>
      </c>
      <c r="S24" s="200"/>
      <c r="T24" s="200">
        <f t="shared" si="28"/>
        <v>640</v>
      </c>
      <c r="U24" s="200">
        <f t="shared" si="29"/>
        <v>441</v>
      </c>
      <c r="V24" s="200">
        <v>441</v>
      </c>
      <c r="W24" s="200"/>
      <c r="X24" s="200">
        <f t="shared" si="30"/>
        <v>199</v>
      </c>
      <c r="Y24" s="200">
        <v>199</v>
      </c>
      <c r="Z24" s="200"/>
      <c r="AA24" s="199">
        <f t="shared" si="56"/>
        <v>478.86558200000002</v>
      </c>
      <c r="AB24" s="200">
        <f t="shared" si="57"/>
        <v>0</v>
      </c>
      <c r="AC24" s="200">
        <f t="shared" si="58"/>
        <v>478.86558200000002</v>
      </c>
      <c r="AD24" s="200">
        <f t="shared" si="59"/>
        <v>299.97196600000001</v>
      </c>
      <c r="AE24" s="200">
        <f t="shared" si="60"/>
        <v>0</v>
      </c>
      <c r="AF24" s="200"/>
      <c r="AG24" s="200"/>
      <c r="AH24" s="200">
        <f t="shared" si="61"/>
        <v>299.97196600000001</v>
      </c>
      <c r="AI24" s="200">
        <v>299.97196600000001</v>
      </c>
      <c r="AJ24" s="200"/>
      <c r="AK24" s="200">
        <f t="shared" si="31"/>
        <v>0</v>
      </c>
      <c r="AL24" s="200">
        <f t="shared" si="32"/>
        <v>0</v>
      </c>
      <c r="AM24" s="200"/>
      <c r="AN24" s="200"/>
      <c r="AO24" s="200">
        <f t="shared" si="33"/>
        <v>0</v>
      </c>
      <c r="AP24" s="200"/>
      <c r="AQ24" s="200"/>
      <c r="AR24" s="200">
        <f t="shared" si="34"/>
        <v>178.89361600000001</v>
      </c>
      <c r="AS24" s="200">
        <f t="shared" si="35"/>
        <v>0</v>
      </c>
      <c r="AT24" s="200"/>
      <c r="AU24" s="200"/>
      <c r="AV24" s="200">
        <f t="shared" si="36"/>
        <v>178.89361600000001</v>
      </c>
      <c r="AW24" s="200">
        <v>178.89361600000001</v>
      </c>
      <c r="AX24" s="200"/>
      <c r="AY24" s="201">
        <f t="shared" si="37"/>
        <v>0.50943147021276602</v>
      </c>
      <c r="AZ24" s="201">
        <f t="shared" si="64"/>
        <v>0</v>
      </c>
      <c r="BA24" s="201">
        <f t="shared" si="38"/>
        <v>0.95965046492985973</v>
      </c>
      <c r="BB24" s="201">
        <f t="shared" si="39"/>
        <v>0.99990655333333334</v>
      </c>
      <c r="BC24" s="201"/>
      <c r="BD24" s="201"/>
      <c r="BE24" s="201"/>
      <c r="BF24" s="201">
        <f t="shared" si="40"/>
        <v>0.99990655333333334</v>
      </c>
      <c r="BG24" s="201">
        <f t="shared" si="41"/>
        <v>0.99990655333333334</v>
      </c>
      <c r="BH24" s="201"/>
      <c r="BI24" s="201"/>
      <c r="BJ24" s="201"/>
      <c r="BK24" s="201"/>
      <c r="BL24" s="201"/>
      <c r="BM24" s="201"/>
      <c r="BN24" s="201"/>
      <c r="BO24" s="201"/>
      <c r="BP24" s="201">
        <f t="shared" si="45"/>
        <v>0.27952127500000001</v>
      </c>
      <c r="BQ24" s="201">
        <f t="shared" si="46"/>
        <v>0</v>
      </c>
      <c r="BR24" s="201">
        <f t="shared" si="47"/>
        <v>0</v>
      </c>
      <c r="BS24" s="201"/>
      <c r="BT24" s="201">
        <f t="shared" si="48"/>
        <v>0.89896289447236188</v>
      </c>
      <c r="BU24" s="201">
        <f t="shared" si="49"/>
        <v>0.89896289447236188</v>
      </c>
      <c r="BV24" s="201"/>
    </row>
    <row r="25" spans="1:74">
      <c r="A25" s="190">
        <v>12</v>
      </c>
      <c r="B25" s="191" t="s">
        <v>278</v>
      </c>
      <c r="C25" s="199">
        <f t="shared" si="50"/>
        <v>197</v>
      </c>
      <c r="D25" s="200">
        <f t="shared" si="51"/>
        <v>0</v>
      </c>
      <c r="E25" s="200">
        <f t="shared" si="52"/>
        <v>197</v>
      </c>
      <c r="F25" s="200">
        <f t="shared" si="53"/>
        <v>90</v>
      </c>
      <c r="G25" s="200">
        <f t="shared" si="54"/>
        <v>0</v>
      </c>
      <c r="H25" s="200"/>
      <c r="I25" s="200"/>
      <c r="J25" s="200">
        <f t="shared" si="55"/>
        <v>90</v>
      </c>
      <c r="K25" s="200">
        <v>90</v>
      </c>
      <c r="L25" s="200"/>
      <c r="M25" s="200">
        <f t="shared" si="25"/>
        <v>0</v>
      </c>
      <c r="N25" s="200">
        <f t="shared" si="26"/>
        <v>0</v>
      </c>
      <c r="O25" s="200">
        <v>0</v>
      </c>
      <c r="P25" s="200"/>
      <c r="Q25" s="200">
        <f t="shared" si="27"/>
        <v>0</v>
      </c>
      <c r="R25" s="200">
        <v>0</v>
      </c>
      <c r="S25" s="200"/>
      <c r="T25" s="200">
        <f t="shared" si="28"/>
        <v>107</v>
      </c>
      <c r="U25" s="200">
        <f t="shared" si="29"/>
        <v>0</v>
      </c>
      <c r="V25" s="200">
        <v>0</v>
      </c>
      <c r="W25" s="200"/>
      <c r="X25" s="200">
        <f t="shared" si="30"/>
        <v>107</v>
      </c>
      <c r="Y25" s="200">
        <v>107</v>
      </c>
      <c r="Z25" s="200"/>
      <c r="AA25" s="199">
        <f t="shared" si="56"/>
        <v>125.23672999999999</v>
      </c>
      <c r="AB25" s="200">
        <f t="shared" si="57"/>
        <v>0</v>
      </c>
      <c r="AC25" s="200">
        <f t="shared" si="58"/>
        <v>125.23672999999999</v>
      </c>
      <c r="AD25" s="200">
        <f t="shared" si="59"/>
        <v>89.65325</v>
      </c>
      <c r="AE25" s="200">
        <f t="shared" si="60"/>
        <v>0</v>
      </c>
      <c r="AF25" s="200"/>
      <c r="AG25" s="200"/>
      <c r="AH25" s="200">
        <f t="shared" si="61"/>
        <v>89.65325</v>
      </c>
      <c r="AI25" s="200">
        <v>89.65325</v>
      </c>
      <c r="AJ25" s="200"/>
      <c r="AK25" s="200">
        <f t="shared" si="31"/>
        <v>0</v>
      </c>
      <c r="AL25" s="200">
        <f t="shared" si="32"/>
        <v>0</v>
      </c>
      <c r="AM25" s="200"/>
      <c r="AN25" s="200"/>
      <c r="AO25" s="200">
        <f t="shared" si="33"/>
        <v>0</v>
      </c>
      <c r="AP25" s="200"/>
      <c r="AQ25" s="200"/>
      <c r="AR25" s="200">
        <f t="shared" si="34"/>
        <v>35.583480000000002</v>
      </c>
      <c r="AS25" s="200">
        <f t="shared" si="35"/>
        <v>0</v>
      </c>
      <c r="AT25" s="200"/>
      <c r="AU25" s="200"/>
      <c r="AV25" s="200">
        <f t="shared" si="36"/>
        <v>35.583480000000002</v>
      </c>
      <c r="AW25" s="200">
        <v>35.583480000000002</v>
      </c>
      <c r="AX25" s="200"/>
      <c r="AY25" s="201">
        <f t="shared" si="37"/>
        <v>0.63571944162436544</v>
      </c>
      <c r="AZ25" s="201"/>
      <c r="BA25" s="201">
        <f t="shared" si="38"/>
        <v>0.63571944162436544</v>
      </c>
      <c r="BB25" s="201">
        <f t="shared" si="39"/>
        <v>0.99614722222222218</v>
      </c>
      <c r="BC25" s="201"/>
      <c r="BD25" s="201"/>
      <c r="BE25" s="201"/>
      <c r="BF25" s="201">
        <f t="shared" si="40"/>
        <v>0.99614722222222218</v>
      </c>
      <c r="BG25" s="201">
        <f t="shared" si="41"/>
        <v>0.99614722222222218</v>
      </c>
      <c r="BH25" s="201"/>
      <c r="BI25" s="201"/>
      <c r="BJ25" s="201"/>
      <c r="BK25" s="201"/>
      <c r="BL25" s="201"/>
      <c r="BM25" s="201"/>
      <c r="BN25" s="201"/>
      <c r="BO25" s="201"/>
      <c r="BP25" s="201">
        <f t="shared" si="45"/>
        <v>0.3325558878504673</v>
      </c>
      <c r="BQ25" s="201"/>
      <c r="BR25" s="201"/>
      <c r="BS25" s="201"/>
      <c r="BT25" s="201">
        <f t="shared" si="48"/>
        <v>0.3325558878504673</v>
      </c>
      <c r="BU25" s="201">
        <f t="shared" si="49"/>
        <v>0.3325558878504673</v>
      </c>
      <c r="BV25" s="201"/>
    </row>
    <row r="26" spans="1:74">
      <c r="A26" s="190">
        <v>13</v>
      </c>
      <c r="B26" s="191" t="s">
        <v>281</v>
      </c>
      <c r="C26" s="199">
        <f t="shared" si="50"/>
        <v>507</v>
      </c>
      <c r="D26" s="200">
        <f t="shared" si="51"/>
        <v>0</v>
      </c>
      <c r="E26" s="200">
        <f t="shared" si="52"/>
        <v>507</v>
      </c>
      <c r="F26" s="200">
        <f t="shared" si="53"/>
        <v>400</v>
      </c>
      <c r="G26" s="200">
        <f t="shared" si="54"/>
        <v>0</v>
      </c>
      <c r="H26" s="200"/>
      <c r="I26" s="200"/>
      <c r="J26" s="200">
        <f t="shared" si="55"/>
        <v>400</v>
      </c>
      <c r="K26" s="200">
        <v>400</v>
      </c>
      <c r="L26" s="200"/>
      <c r="M26" s="200">
        <f t="shared" si="25"/>
        <v>0</v>
      </c>
      <c r="N26" s="200">
        <f t="shared" si="26"/>
        <v>0</v>
      </c>
      <c r="O26" s="200">
        <v>0</v>
      </c>
      <c r="P26" s="200"/>
      <c r="Q26" s="200">
        <f t="shared" si="27"/>
        <v>0</v>
      </c>
      <c r="R26" s="200">
        <v>0</v>
      </c>
      <c r="S26" s="200"/>
      <c r="T26" s="200">
        <f t="shared" si="28"/>
        <v>107</v>
      </c>
      <c r="U26" s="200">
        <f t="shared" si="29"/>
        <v>0</v>
      </c>
      <c r="V26" s="200">
        <v>0</v>
      </c>
      <c r="W26" s="200"/>
      <c r="X26" s="200">
        <f t="shared" si="30"/>
        <v>107</v>
      </c>
      <c r="Y26" s="200">
        <v>107</v>
      </c>
      <c r="Z26" s="200"/>
      <c r="AA26" s="199">
        <f t="shared" si="56"/>
        <v>24</v>
      </c>
      <c r="AB26" s="200">
        <f t="shared" si="57"/>
        <v>0</v>
      </c>
      <c r="AC26" s="200">
        <f t="shared" si="58"/>
        <v>24</v>
      </c>
      <c r="AD26" s="200">
        <f t="shared" si="59"/>
        <v>0</v>
      </c>
      <c r="AE26" s="200">
        <f t="shared" si="60"/>
        <v>0</v>
      </c>
      <c r="AF26" s="200"/>
      <c r="AG26" s="200"/>
      <c r="AH26" s="200">
        <f t="shared" si="61"/>
        <v>0</v>
      </c>
      <c r="AI26" s="200"/>
      <c r="AJ26" s="200"/>
      <c r="AK26" s="200">
        <f t="shared" si="31"/>
        <v>0</v>
      </c>
      <c r="AL26" s="200">
        <f t="shared" si="32"/>
        <v>0</v>
      </c>
      <c r="AM26" s="200"/>
      <c r="AN26" s="200"/>
      <c r="AO26" s="200">
        <f t="shared" si="33"/>
        <v>0</v>
      </c>
      <c r="AP26" s="200"/>
      <c r="AQ26" s="200"/>
      <c r="AR26" s="200">
        <f t="shared" si="34"/>
        <v>24</v>
      </c>
      <c r="AS26" s="200">
        <f t="shared" si="35"/>
        <v>0</v>
      </c>
      <c r="AT26" s="200"/>
      <c r="AU26" s="200"/>
      <c r="AV26" s="200">
        <f t="shared" si="36"/>
        <v>24</v>
      </c>
      <c r="AW26" s="200">
        <v>24</v>
      </c>
      <c r="AX26" s="200"/>
      <c r="AY26" s="201">
        <f t="shared" si="37"/>
        <v>4.7337278106508875E-2</v>
      </c>
      <c r="AZ26" s="201"/>
      <c r="BA26" s="201">
        <f t="shared" si="38"/>
        <v>4.7337278106508875E-2</v>
      </c>
      <c r="BB26" s="201">
        <f t="shared" si="39"/>
        <v>0</v>
      </c>
      <c r="BC26" s="201"/>
      <c r="BD26" s="201"/>
      <c r="BE26" s="201"/>
      <c r="BF26" s="201">
        <f t="shared" si="40"/>
        <v>0</v>
      </c>
      <c r="BG26" s="201">
        <f t="shared" si="41"/>
        <v>0</v>
      </c>
      <c r="BH26" s="201"/>
      <c r="BI26" s="201"/>
      <c r="BJ26" s="201"/>
      <c r="BK26" s="201"/>
      <c r="BL26" s="201"/>
      <c r="BM26" s="201"/>
      <c r="BN26" s="201"/>
      <c r="BO26" s="201"/>
      <c r="BP26" s="201">
        <f t="shared" si="45"/>
        <v>0.22429906542056074</v>
      </c>
      <c r="BQ26" s="201"/>
      <c r="BR26" s="201"/>
      <c r="BS26" s="201"/>
      <c r="BT26" s="201">
        <f t="shared" si="48"/>
        <v>0.22429906542056074</v>
      </c>
      <c r="BU26" s="201">
        <f t="shared" si="49"/>
        <v>0.22429906542056074</v>
      </c>
      <c r="BV26" s="201"/>
    </row>
    <row r="27" spans="1:74" ht="25.5">
      <c r="A27" s="190">
        <v>14</v>
      </c>
      <c r="B27" s="191" t="s">
        <v>736</v>
      </c>
      <c r="C27" s="199">
        <f t="shared" si="50"/>
        <v>25</v>
      </c>
      <c r="D27" s="200">
        <f t="shared" si="51"/>
        <v>0</v>
      </c>
      <c r="E27" s="200">
        <f t="shared" si="52"/>
        <v>25</v>
      </c>
      <c r="F27" s="200">
        <f t="shared" si="53"/>
        <v>0</v>
      </c>
      <c r="G27" s="200">
        <f t="shared" si="54"/>
        <v>0</v>
      </c>
      <c r="H27" s="200"/>
      <c r="I27" s="200"/>
      <c r="J27" s="200">
        <f t="shared" si="55"/>
        <v>0</v>
      </c>
      <c r="K27" s="200"/>
      <c r="L27" s="200"/>
      <c r="M27" s="200">
        <f t="shared" si="25"/>
        <v>0</v>
      </c>
      <c r="N27" s="200">
        <f t="shared" si="26"/>
        <v>0</v>
      </c>
      <c r="O27" s="200">
        <v>0</v>
      </c>
      <c r="P27" s="200"/>
      <c r="Q27" s="200">
        <f t="shared" si="27"/>
        <v>0</v>
      </c>
      <c r="R27" s="200">
        <v>0</v>
      </c>
      <c r="S27" s="200"/>
      <c r="T27" s="200">
        <f t="shared" si="28"/>
        <v>25</v>
      </c>
      <c r="U27" s="200">
        <f t="shared" si="29"/>
        <v>0</v>
      </c>
      <c r="V27" s="200">
        <v>0</v>
      </c>
      <c r="W27" s="200"/>
      <c r="X27" s="200">
        <f t="shared" si="30"/>
        <v>25</v>
      </c>
      <c r="Y27" s="200">
        <v>25</v>
      </c>
      <c r="Z27" s="200"/>
      <c r="AA27" s="199">
        <f t="shared" si="56"/>
        <v>4.5990000000000002</v>
      </c>
      <c r="AB27" s="200">
        <f t="shared" si="57"/>
        <v>0</v>
      </c>
      <c r="AC27" s="200">
        <f t="shared" si="58"/>
        <v>4.5990000000000002</v>
      </c>
      <c r="AD27" s="200">
        <f t="shared" si="59"/>
        <v>0</v>
      </c>
      <c r="AE27" s="200">
        <f t="shared" si="60"/>
        <v>0</v>
      </c>
      <c r="AF27" s="200"/>
      <c r="AG27" s="200"/>
      <c r="AH27" s="200">
        <f t="shared" si="61"/>
        <v>0</v>
      </c>
      <c r="AI27" s="200"/>
      <c r="AJ27" s="200"/>
      <c r="AK27" s="200">
        <f t="shared" si="31"/>
        <v>0</v>
      </c>
      <c r="AL27" s="200">
        <f t="shared" si="32"/>
        <v>0</v>
      </c>
      <c r="AM27" s="200"/>
      <c r="AN27" s="200"/>
      <c r="AO27" s="200">
        <f t="shared" si="33"/>
        <v>0</v>
      </c>
      <c r="AP27" s="200"/>
      <c r="AQ27" s="200"/>
      <c r="AR27" s="200">
        <f t="shared" si="34"/>
        <v>4.5990000000000002</v>
      </c>
      <c r="AS27" s="200">
        <f t="shared" si="35"/>
        <v>0</v>
      </c>
      <c r="AT27" s="200"/>
      <c r="AU27" s="200"/>
      <c r="AV27" s="200">
        <f t="shared" si="36"/>
        <v>4.5990000000000002</v>
      </c>
      <c r="AW27" s="200">
        <v>4.5990000000000002</v>
      </c>
      <c r="AX27" s="200"/>
      <c r="AY27" s="201">
        <f t="shared" si="37"/>
        <v>0.18396000000000001</v>
      </c>
      <c r="AZ27" s="201"/>
      <c r="BA27" s="201">
        <f t="shared" si="38"/>
        <v>0.18396000000000001</v>
      </c>
      <c r="BB27" s="201"/>
      <c r="BC27" s="201"/>
      <c r="BD27" s="201"/>
      <c r="BE27" s="201"/>
      <c r="BF27" s="201"/>
      <c r="BG27" s="201"/>
      <c r="BH27" s="201"/>
      <c r="BI27" s="201"/>
      <c r="BJ27" s="201"/>
      <c r="BK27" s="201"/>
      <c r="BL27" s="201"/>
      <c r="BM27" s="201"/>
      <c r="BN27" s="201"/>
      <c r="BO27" s="201"/>
      <c r="BP27" s="201">
        <f t="shared" si="45"/>
        <v>0.18396000000000001</v>
      </c>
      <c r="BQ27" s="201"/>
      <c r="BR27" s="201"/>
      <c r="BS27" s="201"/>
      <c r="BT27" s="201">
        <f t="shared" si="48"/>
        <v>0.18396000000000001</v>
      </c>
      <c r="BU27" s="201">
        <f t="shared" si="49"/>
        <v>0.18396000000000001</v>
      </c>
      <c r="BV27" s="201"/>
    </row>
    <row r="28" spans="1:74">
      <c r="A28" s="190">
        <v>15</v>
      </c>
      <c r="B28" s="191" t="s">
        <v>737</v>
      </c>
      <c r="C28" s="199">
        <f t="shared" si="50"/>
        <v>8</v>
      </c>
      <c r="D28" s="200">
        <f t="shared" si="51"/>
        <v>0</v>
      </c>
      <c r="E28" s="200">
        <f t="shared" si="52"/>
        <v>8</v>
      </c>
      <c r="F28" s="200">
        <f t="shared" si="53"/>
        <v>0</v>
      </c>
      <c r="G28" s="200">
        <f t="shared" si="54"/>
        <v>0</v>
      </c>
      <c r="H28" s="200"/>
      <c r="I28" s="200"/>
      <c r="J28" s="200">
        <f t="shared" si="55"/>
        <v>0</v>
      </c>
      <c r="K28" s="200"/>
      <c r="L28" s="200"/>
      <c r="M28" s="200">
        <f t="shared" si="25"/>
        <v>0</v>
      </c>
      <c r="N28" s="200">
        <f t="shared" si="26"/>
        <v>0</v>
      </c>
      <c r="O28" s="200">
        <v>0</v>
      </c>
      <c r="P28" s="200"/>
      <c r="Q28" s="200">
        <f t="shared" si="27"/>
        <v>0</v>
      </c>
      <c r="R28" s="200">
        <v>0</v>
      </c>
      <c r="S28" s="200"/>
      <c r="T28" s="200">
        <f t="shared" si="28"/>
        <v>8</v>
      </c>
      <c r="U28" s="200">
        <f t="shared" si="29"/>
        <v>0</v>
      </c>
      <c r="V28" s="200">
        <v>0</v>
      </c>
      <c r="W28" s="200"/>
      <c r="X28" s="200">
        <f t="shared" si="30"/>
        <v>8</v>
      </c>
      <c r="Y28" s="200">
        <v>8</v>
      </c>
      <c r="Z28" s="200"/>
      <c r="AA28" s="199">
        <f t="shared" si="56"/>
        <v>4.8314680000000001</v>
      </c>
      <c r="AB28" s="200">
        <f t="shared" si="57"/>
        <v>0</v>
      </c>
      <c r="AC28" s="200">
        <f t="shared" si="58"/>
        <v>4.8314680000000001</v>
      </c>
      <c r="AD28" s="200">
        <f t="shared" si="59"/>
        <v>0</v>
      </c>
      <c r="AE28" s="200">
        <f t="shared" si="60"/>
        <v>0</v>
      </c>
      <c r="AF28" s="200"/>
      <c r="AG28" s="200"/>
      <c r="AH28" s="200">
        <f t="shared" si="61"/>
        <v>0</v>
      </c>
      <c r="AI28" s="200"/>
      <c r="AJ28" s="200"/>
      <c r="AK28" s="200">
        <f t="shared" si="31"/>
        <v>0</v>
      </c>
      <c r="AL28" s="200">
        <f t="shared" si="32"/>
        <v>0</v>
      </c>
      <c r="AM28" s="200"/>
      <c r="AN28" s="200"/>
      <c r="AO28" s="200">
        <f t="shared" si="33"/>
        <v>0</v>
      </c>
      <c r="AP28" s="200"/>
      <c r="AQ28" s="200"/>
      <c r="AR28" s="200">
        <f t="shared" si="34"/>
        <v>4.8314680000000001</v>
      </c>
      <c r="AS28" s="200">
        <f t="shared" si="35"/>
        <v>0</v>
      </c>
      <c r="AT28" s="200"/>
      <c r="AU28" s="200"/>
      <c r="AV28" s="200">
        <f t="shared" si="36"/>
        <v>4.8314680000000001</v>
      </c>
      <c r="AW28" s="200">
        <v>4.8314680000000001</v>
      </c>
      <c r="AX28" s="200"/>
      <c r="AY28" s="201">
        <f t="shared" si="37"/>
        <v>0.60393350000000001</v>
      </c>
      <c r="AZ28" s="201"/>
      <c r="BA28" s="201">
        <f t="shared" si="38"/>
        <v>0.60393350000000001</v>
      </c>
      <c r="BB28" s="201"/>
      <c r="BC28" s="201"/>
      <c r="BD28" s="201"/>
      <c r="BE28" s="201"/>
      <c r="BF28" s="201"/>
      <c r="BG28" s="201"/>
      <c r="BH28" s="201"/>
      <c r="BI28" s="201"/>
      <c r="BJ28" s="201"/>
      <c r="BK28" s="201"/>
      <c r="BL28" s="201"/>
      <c r="BM28" s="201"/>
      <c r="BN28" s="201"/>
      <c r="BO28" s="201"/>
      <c r="BP28" s="201">
        <f t="shared" si="45"/>
        <v>0.60393350000000001</v>
      </c>
      <c r="BQ28" s="201"/>
      <c r="BR28" s="201"/>
      <c r="BS28" s="201"/>
      <c r="BT28" s="201">
        <f t="shared" si="48"/>
        <v>0.60393350000000001</v>
      </c>
      <c r="BU28" s="201">
        <f t="shared" si="49"/>
        <v>0.60393350000000001</v>
      </c>
      <c r="BV28" s="201"/>
    </row>
    <row r="29" spans="1:74" ht="22.5" customHeight="1">
      <c r="A29" s="190">
        <v>16</v>
      </c>
      <c r="B29" s="191" t="s">
        <v>480</v>
      </c>
      <c r="C29" s="199">
        <f t="shared" si="50"/>
        <v>3878</v>
      </c>
      <c r="D29" s="200">
        <f t="shared" si="51"/>
        <v>661</v>
      </c>
      <c r="E29" s="200">
        <f t="shared" si="52"/>
        <v>3217</v>
      </c>
      <c r="F29" s="200">
        <f t="shared" si="53"/>
        <v>3000</v>
      </c>
      <c r="G29" s="200">
        <f t="shared" si="54"/>
        <v>0</v>
      </c>
      <c r="H29" s="200"/>
      <c r="I29" s="200"/>
      <c r="J29" s="200">
        <f t="shared" si="55"/>
        <v>3000</v>
      </c>
      <c r="K29" s="200">
        <v>3000</v>
      </c>
      <c r="L29" s="200"/>
      <c r="M29" s="200">
        <f t="shared" si="25"/>
        <v>117</v>
      </c>
      <c r="N29" s="200">
        <f t="shared" si="26"/>
        <v>0</v>
      </c>
      <c r="O29" s="200">
        <v>0</v>
      </c>
      <c r="P29" s="200"/>
      <c r="Q29" s="200">
        <f t="shared" si="27"/>
        <v>117</v>
      </c>
      <c r="R29" s="200">
        <v>117</v>
      </c>
      <c r="S29" s="200"/>
      <c r="T29" s="200">
        <f t="shared" si="28"/>
        <v>761</v>
      </c>
      <c r="U29" s="200">
        <f t="shared" si="29"/>
        <v>661</v>
      </c>
      <c r="V29" s="200">
        <v>661</v>
      </c>
      <c r="W29" s="200"/>
      <c r="X29" s="200">
        <f t="shared" si="30"/>
        <v>100</v>
      </c>
      <c r="Y29" s="200">
        <v>100</v>
      </c>
      <c r="Z29" s="200"/>
      <c r="AA29" s="199">
        <f t="shared" si="56"/>
        <v>396.416</v>
      </c>
      <c r="AB29" s="200">
        <f t="shared" si="57"/>
        <v>0</v>
      </c>
      <c r="AC29" s="200">
        <f t="shared" si="58"/>
        <v>396.416</v>
      </c>
      <c r="AD29" s="200">
        <f t="shared" si="59"/>
        <v>235.93</v>
      </c>
      <c r="AE29" s="200">
        <f t="shared" si="60"/>
        <v>0</v>
      </c>
      <c r="AF29" s="200"/>
      <c r="AG29" s="200"/>
      <c r="AH29" s="200">
        <f t="shared" si="61"/>
        <v>235.93</v>
      </c>
      <c r="AI29" s="200">
        <v>235.93</v>
      </c>
      <c r="AJ29" s="200"/>
      <c r="AK29" s="200">
        <f t="shared" si="31"/>
        <v>77.486000000000004</v>
      </c>
      <c r="AL29" s="200">
        <f t="shared" si="32"/>
        <v>0</v>
      </c>
      <c r="AM29" s="200"/>
      <c r="AN29" s="200"/>
      <c r="AO29" s="200">
        <f t="shared" si="33"/>
        <v>77.486000000000004</v>
      </c>
      <c r="AP29" s="200">
        <v>77.486000000000004</v>
      </c>
      <c r="AQ29" s="200"/>
      <c r="AR29" s="200">
        <f t="shared" si="34"/>
        <v>83</v>
      </c>
      <c r="AS29" s="200">
        <f t="shared" si="35"/>
        <v>0</v>
      </c>
      <c r="AT29" s="200"/>
      <c r="AU29" s="200"/>
      <c r="AV29" s="200">
        <f t="shared" si="36"/>
        <v>83</v>
      </c>
      <c r="AW29" s="200">
        <v>83</v>
      </c>
      <c r="AX29" s="200"/>
      <c r="AY29" s="201">
        <f t="shared" si="37"/>
        <v>0.10222176379577101</v>
      </c>
      <c r="AZ29" s="201">
        <f t="shared" si="64"/>
        <v>0</v>
      </c>
      <c r="BA29" s="201">
        <f t="shared" si="38"/>
        <v>0.12322536524712464</v>
      </c>
      <c r="BB29" s="201">
        <f t="shared" si="39"/>
        <v>7.8643333333333329E-2</v>
      </c>
      <c r="BC29" s="201"/>
      <c r="BD29" s="201"/>
      <c r="BE29" s="201"/>
      <c r="BF29" s="201">
        <f t="shared" si="40"/>
        <v>7.8643333333333329E-2</v>
      </c>
      <c r="BG29" s="201">
        <f t="shared" si="41"/>
        <v>7.8643333333333329E-2</v>
      </c>
      <c r="BH29" s="201"/>
      <c r="BI29" s="201">
        <f t="shared" si="42"/>
        <v>0.66227350427350429</v>
      </c>
      <c r="BJ29" s="201"/>
      <c r="BK29" s="201"/>
      <c r="BL29" s="201"/>
      <c r="BM29" s="201">
        <f t="shared" si="43"/>
        <v>0.66227350427350429</v>
      </c>
      <c r="BN29" s="201">
        <f t="shared" si="44"/>
        <v>0.66227350427350429</v>
      </c>
      <c r="BO29" s="201"/>
      <c r="BP29" s="201">
        <f t="shared" si="45"/>
        <v>0.10906701708278581</v>
      </c>
      <c r="BQ29" s="201">
        <f t="shared" si="46"/>
        <v>0</v>
      </c>
      <c r="BR29" s="201">
        <f t="shared" si="47"/>
        <v>0</v>
      </c>
      <c r="BS29" s="201"/>
      <c r="BT29" s="201">
        <f t="shared" si="48"/>
        <v>0.83</v>
      </c>
      <c r="BU29" s="201">
        <f t="shared" si="49"/>
        <v>0.83</v>
      </c>
      <c r="BV29" s="201"/>
    </row>
    <row r="30" spans="1:74">
      <c r="A30" s="190">
        <v>17</v>
      </c>
      <c r="B30" s="191" t="s">
        <v>217</v>
      </c>
      <c r="C30" s="199">
        <f t="shared" si="50"/>
        <v>8</v>
      </c>
      <c r="D30" s="200">
        <f t="shared" si="51"/>
        <v>0</v>
      </c>
      <c r="E30" s="200">
        <f t="shared" si="52"/>
        <v>8</v>
      </c>
      <c r="F30" s="200">
        <f t="shared" si="53"/>
        <v>0</v>
      </c>
      <c r="G30" s="200">
        <f t="shared" si="54"/>
        <v>0</v>
      </c>
      <c r="H30" s="200"/>
      <c r="I30" s="200"/>
      <c r="J30" s="200">
        <f t="shared" si="55"/>
        <v>0</v>
      </c>
      <c r="K30" s="200"/>
      <c r="L30" s="200"/>
      <c r="M30" s="200">
        <f t="shared" si="25"/>
        <v>0</v>
      </c>
      <c r="N30" s="200">
        <f t="shared" si="26"/>
        <v>0</v>
      </c>
      <c r="O30" s="200">
        <v>0</v>
      </c>
      <c r="P30" s="200"/>
      <c r="Q30" s="200">
        <f t="shared" si="27"/>
        <v>0</v>
      </c>
      <c r="R30" s="200">
        <v>0</v>
      </c>
      <c r="S30" s="200"/>
      <c r="T30" s="200">
        <f t="shared" si="28"/>
        <v>8</v>
      </c>
      <c r="U30" s="200">
        <f t="shared" si="29"/>
        <v>0</v>
      </c>
      <c r="V30" s="200">
        <v>0</v>
      </c>
      <c r="W30" s="200"/>
      <c r="X30" s="200">
        <f t="shared" si="30"/>
        <v>8</v>
      </c>
      <c r="Y30" s="200">
        <v>8</v>
      </c>
      <c r="Z30" s="200"/>
      <c r="AA30" s="199">
        <f t="shared" si="56"/>
        <v>7.6</v>
      </c>
      <c r="AB30" s="200">
        <f t="shared" si="57"/>
        <v>0</v>
      </c>
      <c r="AC30" s="200">
        <f t="shared" si="58"/>
        <v>7.6</v>
      </c>
      <c r="AD30" s="200">
        <f t="shared" si="59"/>
        <v>0</v>
      </c>
      <c r="AE30" s="200">
        <f t="shared" si="60"/>
        <v>0</v>
      </c>
      <c r="AF30" s="200"/>
      <c r="AG30" s="200"/>
      <c r="AH30" s="200">
        <f t="shared" si="61"/>
        <v>0</v>
      </c>
      <c r="AI30" s="200"/>
      <c r="AJ30" s="200"/>
      <c r="AK30" s="200">
        <f t="shared" si="31"/>
        <v>0</v>
      </c>
      <c r="AL30" s="200">
        <f t="shared" si="32"/>
        <v>0</v>
      </c>
      <c r="AM30" s="200"/>
      <c r="AN30" s="200"/>
      <c r="AO30" s="200">
        <f t="shared" si="33"/>
        <v>0</v>
      </c>
      <c r="AP30" s="200"/>
      <c r="AQ30" s="200"/>
      <c r="AR30" s="200">
        <f t="shared" si="34"/>
        <v>7.6</v>
      </c>
      <c r="AS30" s="200">
        <f t="shared" si="35"/>
        <v>0</v>
      </c>
      <c r="AT30" s="200"/>
      <c r="AU30" s="200"/>
      <c r="AV30" s="200">
        <f t="shared" si="36"/>
        <v>7.6</v>
      </c>
      <c r="AW30" s="200">
        <v>7.6</v>
      </c>
      <c r="AX30" s="200"/>
      <c r="AY30" s="201">
        <f t="shared" si="37"/>
        <v>0.95</v>
      </c>
      <c r="AZ30" s="201"/>
      <c r="BA30" s="201">
        <f t="shared" si="38"/>
        <v>0.95</v>
      </c>
      <c r="BB30" s="201"/>
      <c r="BC30" s="201"/>
      <c r="BD30" s="201"/>
      <c r="BE30" s="201"/>
      <c r="BF30" s="201"/>
      <c r="BG30" s="201"/>
      <c r="BH30" s="201"/>
      <c r="BI30" s="201"/>
      <c r="BJ30" s="201"/>
      <c r="BK30" s="201"/>
      <c r="BL30" s="201"/>
      <c r="BM30" s="201"/>
      <c r="BN30" s="201"/>
      <c r="BO30" s="201"/>
      <c r="BP30" s="201">
        <f t="shared" si="45"/>
        <v>0.95</v>
      </c>
      <c r="BQ30" s="201"/>
      <c r="BR30" s="201"/>
      <c r="BS30" s="201"/>
      <c r="BT30" s="201">
        <f t="shared" si="48"/>
        <v>0.95</v>
      </c>
      <c r="BU30" s="201">
        <f t="shared" si="49"/>
        <v>0.95</v>
      </c>
      <c r="BV30" s="201"/>
    </row>
    <row r="31" spans="1:74">
      <c r="A31" s="190">
        <v>18</v>
      </c>
      <c r="B31" s="191" t="s">
        <v>229</v>
      </c>
      <c r="C31" s="199">
        <f t="shared" si="50"/>
        <v>8</v>
      </c>
      <c r="D31" s="200">
        <f t="shared" si="51"/>
        <v>0</v>
      </c>
      <c r="E31" s="200">
        <f t="shared" si="52"/>
        <v>8</v>
      </c>
      <c r="F31" s="200">
        <f t="shared" si="53"/>
        <v>0</v>
      </c>
      <c r="G31" s="200">
        <f t="shared" si="54"/>
        <v>0</v>
      </c>
      <c r="H31" s="200"/>
      <c r="I31" s="200"/>
      <c r="J31" s="200">
        <f t="shared" si="55"/>
        <v>0</v>
      </c>
      <c r="K31" s="200"/>
      <c r="L31" s="200"/>
      <c r="M31" s="200">
        <f t="shared" si="25"/>
        <v>0</v>
      </c>
      <c r="N31" s="200">
        <f t="shared" si="26"/>
        <v>0</v>
      </c>
      <c r="O31" s="200">
        <v>0</v>
      </c>
      <c r="P31" s="200"/>
      <c r="Q31" s="200">
        <f t="shared" si="27"/>
        <v>0</v>
      </c>
      <c r="R31" s="200">
        <v>0</v>
      </c>
      <c r="S31" s="200"/>
      <c r="T31" s="200">
        <f t="shared" si="28"/>
        <v>8</v>
      </c>
      <c r="U31" s="200">
        <f t="shared" si="29"/>
        <v>0</v>
      </c>
      <c r="V31" s="200">
        <v>0</v>
      </c>
      <c r="W31" s="200"/>
      <c r="X31" s="200">
        <f t="shared" si="30"/>
        <v>8</v>
      </c>
      <c r="Y31" s="200">
        <v>8</v>
      </c>
      <c r="Z31" s="200"/>
      <c r="AA31" s="199">
        <f t="shared" si="56"/>
        <v>8</v>
      </c>
      <c r="AB31" s="200">
        <f t="shared" si="57"/>
        <v>0</v>
      </c>
      <c r="AC31" s="200">
        <f t="shared" si="58"/>
        <v>8</v>
      </c>
      <c r="AD31" s="200">
        <f t="shared" si="59"/>
        <v>0</v>
      </c>
      <c r="AE31" s="200">
        <f t="shared" si="60"/>
        <v>0</v>
      </c>
      <c r="AF31" s="200"/>
      <c r="AG31" s="200"/>
      <c r="AH31" s="200">
        <f t="shared" si="61"/>
        <v>0</v>
      </c>
      <c r="AI31" s="200"/>
      <c r="AJ31" s="200"/>
      <c r="AK31" s="200">
        <f t="shared" si="31"/>
        <v>0</v>
      </c>
      <c r="AL31" s="200">
        <f t="shared" si="32"/>
        <v>0</v>
      </c>
      <c r="AM31" s="200"/>
      <c r="AN31" s="200"/>
      <c r="AO31" s="200">
        <f t="shared" si="33"/>
        <v>0</v>
      </c>
      <c r="AP31" s="200"/>
      <c r="AQ31" s="200"/>
      <c r="AR31" s="200">
        <f t="shared" si="34"/>
        <v>8</v>
      </c>
      <c r="AS31" s="200">
        <f t="shared" si="35"/>
        <v>0</v>
      </c>
      <c r="AT31" s="200"/>
      <c r="AU31" s="200"/>
      <c r="AV31" s="200">
        <f t="shared" si="36"/>
        <v>8</v>
      </c>
      <c r="AW31" s="200">
        <v>8</v>
      </c>
      <c r="AX31" s="200"/>
      <c r="AY31" s="201">
        <f t="shared" si="37"/>
        <v>1</v>
      </c>
      <c r="AZ31" s="201"/>
      <c r="BA31" s="201">
        <f t="shared" si="38"/>
        <v>1</v>
      </c>
      <c r="BB31" s="201"/>
      <c r="BC31" s="201"/>
      <c r="BD31" s="201"/>
      <c r="BE31" s="201"/>
      <c r="BF31" s="201"/>
      <c r="BG31" s="201"/>
      <c r="BH31" s="201"/>
      <c r="BI31" s="201"/>
      <c r="BJ31" s="201"/>
      <c r="BK31" s="201"/>
      <c r="BL31" s="201"/>
      <c r="BM31" s="201"/>
      <c r="BN31" s="201"/>
      <c r="BO31" s="201"/>
      <c r="BP31" s="201">
        <f t="shared" si="45"/>
        <v>1</v>
      </c>
      <c r="BQ31" s="201"/>
      <c r="BR31" s="201"/>
      <c r="BS31" s="201"/>
      <c r="BT31" s="201">
        <f t="shared" si="48"/>
        <v>1</v>
      </c>
      <c r="BU31" s="201">
        <f t="shared" si="49"/>
        <v>1</v>
      </c>
      <c r="BV31" s="201"/>
    </row>
    <row r="32" spans="1:74">
      <c r="A32" s="190">
        <v>19</v>
      </c>
      <c r="B32" s="191" t="s">
        <v>220</v>
      </c>
      <c r="C32" s="199">
        <f t="shared" si="50"/>
        <v>11541</v>
      </c>
      <c r="D32" s="200">
        <f t="shared" si="51"/>
        <v>8085</v>
      </c>
      <c r="E32" s="200">
        <f t="shared" si="52"/>
        <v>3456</v>
      </c>
      <c r="F32" s="200">
        <f t="shared" si="53"/>
        <v>450</v>
      </c>
      <c r="G32" s="200">
        <f t="shared" si="54"/>
        <v>0</v>
      </c>
      <c r="H32" s="200"/>
      <c r="I32" s="200"/>
      <c r="J32" s="200">
        <f t="shared" si="55"/>
        <v>450</v>
      </c>
      <c r="K32" s="200">
        <v>450</v>
      </c>
      <c r="L32" s="200"/>
      <c r="M32" s="200">
        <f t="shared" si="25"/>
        <v>0</v>
      </c>
      <c r="N32" s="200">
        <f t="shared" si="26"/>
        <v>0</v>
      </c>
      <c r="O32" s="200">
        <v>0</v>
      </c>
      <c r="P32" s="200"/>
      <c r="Q32" s="200">
        <f t="shared" si="27"/>
        <v>0</v>
      </c>
      <c r="R32" s="200">
        <v>0</v>
      </c>
      <c r="S32" s="200"/>
      <c r="T32" s="200">
        <f t="shared" si="28"/>
        <v>11091</v>
      </c>
      <c r="U32" s="200">
        <f t="shared" si="29"/>
        <v>8085</v>
      </c>
      <c r="V32" s="200">
        <v>8085</v>
      </c>
      <c r="W32" s="200"/>
      <c r="X32" s="200">
        <f t="shared" si="30"/>
        <v>3006</v>
      </c>
      <c r="Y32" s="200">
        <v>3006</v>
      </c>
      <c r="Z32" s="200"/>
      <c r="AA32" s="199">
        <f t="shared" si="56"/>
        <v>3150.501041</v>
      </c>
      <c r="AB32" s="200">
        <f t="shared" si="57"/>
        <v>0</v>
      </c>
      <c r="AC32" s="200">
        <f t="shared" si="58"/>
        <v>3150.501041</v>
      </c>
      <c r="AD32" s="200">
        <f t="shared" si="59"/>
        <v>447.77</v>
      </c>
      <c r="AE32" s="200">
        <f t="shared" si="60"/>
        <v>0</v>
      </c>
      <c r="AF32" s="200"/>
      <c r="AG32" s="200"/>
      <c r="AH32" s="200">
        <f t="shared" si="61"/>
        <v>447.77</v>
      </c>
      <c r="AI32" s="200">
        <v>447.77</v>
      </c>
      <c r="AJ32" s="200"/>
      <c r="AK32" s="200">
        <f t="shared" si="31"/>
        <v>0</v>
      </c>
      <c r="AL32" s="200">
        <f t="shared" si="32"/>
        <v>0</v>
      </c>
      <c r="AM32" s="200"/>
      <c r="AN32" s="200"/>
      <c r="AO32" s="200">
        <f t="shared" si="33"/>
        <v>0</v>
      </c>
      <c r="AP32" s="200"/>
      <c r="AQ32" s="200"/>
      <c r="AR32" s="200">
        <f t="shared" si="34"/>
        <v>2702.731041</v>
      </c>
      <c r="AS32" s="200">
        <f t="shared" si="35"/>
        <v>0</v>
      </c>
      <c r="AT32" s="200"/>
      <c r="AU32" s="200"/>
      <c r="AV32" s="200">
        <f t="shared" si="36"/>
        <v>2702.731041</v>
      </c>
      <c r="AW32" s="200">
        <v>2702.731041</v>
      </c>
      <c r="AX32" s="200"/>
      <c r="AY32" s="201">
        <f t="shared" si="37"/>
        <v>0.27298336721254657</v>
      </c>
      <c r="AZ32" s="201">
        <f t="shared" si="64"/>
        <v>0</v>
      </c>
      <c r="BA32" s="201">
        <f t="shared" si="38"/>
        <v>0.91160331047453702</v>
      </c>
      <c r="BB32" s="201">
        <f t="shared" si="39"/>
        <v>0.9950444444444444</v>
      </c>
      <c r="BC32" s="201"/>
      <c r="BD32" s="201"/>
      <c r="BE32" s="201"/>
      <c r="BF32" s="201">
        <f t="shared" si="40"/>
        <v>0.9950444444444444</v>
      </c>
      <c r="BG32" s="201">
        <f t="shared" si="41"/>
        <v>0.9950444444444444</v>
      </c>
      <c r="BH32" s="201"/>
      <c r="BI32" s="201"/>
      <c r="BJ32" s="201"/>
      <c r="BK32" s="201"/>
      <c r="BL32" s="201"/>
      <c r="BM32" s="201"/>
      <c r="BN32" s="201"/>
      <c r="BO32" s="201"/>
      <c r="BP32" s="201">
        <f t="shared" si="45"/>
        <v>0.24368686691912361</v>
      </c>
      <c r="BQ32" s="201">
        <f t="shared" si="46"/>
        <v>0</v>
      </c>
      <c r="BR32" s="201">
        <f t="shared" si="47"/>
        <v>0</v>
      </c>
      <c r="BS32" s="201"/>
      <c r="BT32" s="201">
        <f t="shared" si="48"/>
        <v>0.89911212275449104</v>
      </c>
      <c r="BU32" s="201">
        <f t="shared" si="49"/>
        <v>0.89911212275449104</v>
      </c>
      <c r="BV32" s="201"/>
    </row>
    <row r="33" spans="1:76">
      <c r="A33" s="190">
        <v>20</v>
      </c>
      <c r="B33" s="191" t="s">
        <v>268</v>
      </c>
      <c r="C33" s="199">
        <f t="shared" si="50"/>
        <v>32</v>
      </c>
      <c r="D33" s="200">
        <f t="shared" si="51"/>
        <v>0</v>
      </c>
      <c r="E33" s="200">
        <f t="shared" si="52"/>
        <v>32</v>
      </c>
      <c r="F33" s="200">
        <f t="shared" si="53"/>
        <v>0</v>
      </c>
      <c r="G33" s="200">
        <f t="shared" si="54"/>
        <v>0</v>
      </c>
      <c r="H33" s="200"/>
      <c r="I33" s="200"/>
      <c r="J33" s="200">
        <f t="shared" si="55"/>
        <v>0</v>
      </c>
      <c r="K33" s="200"/>
      <c r="L33" s="200"/>
      <c r="M33" s="200">
        <f t="shared" si="25"/>
        <v>0</v>
      </c>
      <c r="N33" s="200">
        <f t="shared" si="26"/>
        <v>0</v>
      </c>
      <c r="O33" s="200">
        <v>0</v>
      </c>
      <c r="P33" s="200"/>
      <c r="Q33" s="200">
        <f t="shared" si="27"/>
        <v>0</v>
      </c>
      <c r="R33" s="200">
        <v>0</v>
      </c>
      <c r="S33" s="200"/>
      <c r="T33" s="200">
        <f t="shared" si="28"/>
        <v>32</v>
      </c>
      <c r="U33" s="200">
        <f t="shared" si="29"/>
        <v>0</v>
      </c>
      <c r="V33" s="200">
        <v>0</v>
      </c>
      <c r="W33" s="200"/>
      <c r="X33" s="200">
        <f t="shared" si="30"/>
        <v>32</v>
      </c>
      <c r="Y33" s="200">
        <v>32</v>
      </c>
      <c r="Z33" s="200"/>
      <c r="AA33" s="199">
        <f t="shared" si="56"/>
        <v>24</v>
      </c>
      <c r="AB33" s="200">
        <f t="shared" si="57"/>
        <v>0</v>
      </c>
      <c r="AC33" s="200">
        <f t="shared" si="58"/>
        <v>24</v>
      </c>
      <c r="AD33" s="200">
        <f t="shared" si="59"/>
        <v>0</v>
      </c>
      <c r="AE33" s="200">
        <f t="shared" si="60"/>
        <v>0</v>
      </c>
      <c r="AF33" s="200"/>
      <c r="AG33" s="200"/>
      <c r="AH33" s="200">
        <f t="shared" si="61"/>
        <v>0</v>
      </c>
      <c r="AI33" s="200"/>
      <c r="AJ33" s="200"/>
      <c r="AK33" s="200">
        <f t="shared" si="31"/>
        <v>0</v>
      </c>
      <c r="AL33" s="200">
        <f t="shared" si="32"/>
        <v>0</v>
      </c>
      <c r="AM33" s="200"/>
      <c r="AN33" s="200"/>
      <c r="AO33" s="200">
        <f t="shared" si="33"/>
        <v>0</v>
      </c>
      <c r="AP33" s="200"/>
      <c r="AQ33" s="200"/>
      <c r="AR33" s="200">
        <f t="shared" si="34"/>
        <v>24</v>
      </c>
      <c r="AS33" s="200">
        <f t="shared" si="35"/>
        <v>0</v>
      </c>
      <c r="AT33" s="200"/>
      <c r="AU33" s="200"/>
      <c r="AV33" s="200">
        <f t="shared" si="36"/>
        <v>24</v>
      </c>
      <c r="AW33" s="200">
        <v>24</v>
      </c>
      <c r="AX33" s="200"/>
      <c r="AY33" s="201">
        <f t="shared" si="37"/>
        <v>0.75</v>
      </c>
      <c r="AZ33" s="201"/>
      <c r="BA33" s="201">
        <f t="shared" si="38"/>
        <v>0.75</v>
      </c>
      <c r="BB33" s="201"/>
      <c r="BC33" s="201"/>
      <c r="BD33" s="201"/>
      <c r="BE33" s="201"/>
      <c r="BF33" s="201"/>
      <c r="BG33" s="201"/>
      <c r="BH33" s="201"/>
      <c r="BI33" s="201"/>
      <c r="BJ33" s="201"/>
      <c r="BK33" s="201"/>
      <c r="BL33" s="201"/>
      <c r="BM33" s="201"/>
      <c r="BN33" s="201"/>
      <c r="BO33" s="201"/>
      <c r="BP33" s="201">
        <f t="shared" si="45"/>
        <v>0.75</v>
      </c>
      <c r="BQ33" s="201"/>
      <c r="BR33" s="201"/>
      <c r="BS33" s="201"/>
      <c r="BT33" s="201">
        <f t="shared" si="48"/>
        <v>0.75</v>
      </c>
      <c r="BU33" s="201">
        <f t="shared" si="49"/>
        <v>0.75</v>
      </c>
      <c r="BV33" s="201"/>
    </row>
    <row r="34" spans="1:76">
      <c r="A34" s="190">
        <v>21</v>
      </c>
      <c r="B34" s="191" t="s">
        <v>738</v>
      </c>
      <c r="C34" s="199">
        <f t="shared" si="50"/>
        <v>8</v>
      </c>
      <c r="D34" s="200">
        <f t="shared" si="51"/>
        <v>0</v>
      </c>
      <c r="E34" s="200">
        <f t="shared" si="52"/>
        <v>8</v>
      </c>
      <c r="F34" s="200">
        <f t="shared" si="53"/>
        <v>0</v>
      </c>
      <c r="G34" s="200">
        <f t="shared" si="54"/>
        <v>0</v>
      </c>
      <c r="H34" s="200"/>
      <c r="I34" s="200"/>
      <c r="J34" s="200">
        <f t="shared" si="55"/>
        <v>0</v>
      </c>
      <c r="K34" s="200"/>
      <c r="L34" s="200"/>
      <c r="M34" s="200">
        <f t="shared" si="25"/>
        <v>0</v>
      </c>
      <c r="N34" s="200">
        <f t="shared" si="26"/>
        <v>0</v>
      </c>
      <c r="O34" s="200">
        <v>0</v>
      </c>
      <c r="P34" s="200"/>
      <c r="Q34" s="200">
        <f t="shared" si="27"/>
        <v>0</v>
      </c>
      <c r="R34" s="200">
        <v>0</v>
      </c>
      <c r="S34" s="200"/>
      <c r="T34" s="200">
        <f t="shared" si="28"/>
        <v>8</v>
      </c>
      <c r="U34" s="200">
        <f t="shared" si="29"/>
        <v>0</v>
      </c>
      <c r="V34" s="200">
        <v>0</v>
      </c>
      <c r="W34" s="200"/>
      <c r="X34" s="200">
        <f t="shared" si="30"/>
        <v>8</v>
      </c>
      <c r="Y34" s="200">
        <v>8</v>
      </c>
      <c r="Z34" s="200"/>
      <c r="AA34" s="199">
        <f t="shared" si="56"/>
        <v>0</v>
      </c>
      <c r="AB34" s="200">
        <f t="shared" si="57"/>
        <v>0</v>
      </c>
      <c r="AC34" s="200">
        <f t="shared" si="58"/>
        <v>0</v>
      </c>
      <c r="AD34" s="200">
        <f t="shared" si="59"/>
        <v>0</v>
      </c>
      <c r="AE34" s="200">
        <f t="shared" si="60"/>
        <v>0</v>
      </c>
      <c r="AF34" s="200"/>
      <c r="AG34" s="200"/>
      <c r="AH34" s="200">
        <f t="shared" si="61"/>
        <v>0</v>
      </c>
      <c r="AI34" s="200"/>
      <c r="AJ34" s="200"/>
      <c r="AK34" s="200">
        <f t="shared" si="31"/>
        <v>0</v>
      </c>
      <c r="AL34" s="200">
        <f t="shared" si="32"/>
        <v>0</v>
      </c>
      <c r="AM34" s="200"/>
      <c r="AN34" s="200"/>
      <c r="AO34" s="200">
        <f t="shared" si="33"/>
        <v>0</v>
      </c>
      <c r="AP34" s="200"/>
      <c r="AQ34" s="200"/>
      <c r="AR34" s="200">
        <f t="shared" si="34"/>
        <v>0</v>
      </c>
      <c r="AS34" s="200">
        <f t="shared" si="35"/>
        <v>0</v>
      </c>
      <c r="AT34" s="200"/>
      <c r="AU34" s="200"/>
      <c r="AV34" s="200">
        <f t="shared" si="36"/>
        <v>0</v>
      </c>
      <c r="AW34" s="200">
        <v>0</v>
      </c>
      <c r="AX34" s="200"/>
      <c r="AY34" s="201">
        <f t="shared" si="37"/>
        <v>0</v>
      </c>
      <c r="AZ34" s="201"/>
      <c r="BA34" s="201">
        <f t="shared" si="38"/>
        <v>0</v>
      </c>
      <c r="BB34" s="201"/>
      <c r="BC34" s="201"/>
      <c r="BD34" s="201"/>
      <c r="BE34" s="201"/>
      <c r="BF34" s="201"/>
      <c r="BG34" s="201"/>
      <c r="BH34" s="201"/>
      <c r="BI34" s="201"/>
      <c r="BJ34" s="201"/>
      <c r="BK34" s="201"/>
      <c r="BL34" s="201"/>
      <c r="BM34" s="201"/>
      <c r="BN34" s="201"/>
      <c r="BO34" s="201"/>
      <c r="BP34" s="201">
        <f t="shared" si="45"/>
        <v>0</v>
      </c>
      <c r="BQ34" s="201"/>
      <c r="BR34" s="201"/>
      <c r="BS34" s="201"/>
      <c r="BT34" s="201">
        <f t="shared" si="48"/>
        <v>0</v>
      </c>
      <c r="BU34" s="201">
        <f t="shared" si="49"/>
        <v>0</v>
      </c>
      <c r="BV34" s="201"/>
    </row>
    <row r="35" spans="1:76" ht="25.5">
      <c r="A35" s="190">
        <v>22</v>
      </c>
      <c r="B35" s="191" t="s">
        <v>739</v>
      </c>
      <c r="C35" s="199">
        <f t="shared" si="50"/>
        <v>8</v>
      </c>
      <c r="D35" s="200">
        <f t="shared" si="51"/>
        <v>0</v>
      </c>
      <c r="E35" s="200">
        <f t="shared" si="52"/>
        <v>8</v>
      </c>
      <c r="F35" s="200">
        <f t="shared" si="53"/>
        <v>0</v>
      </c>
      <c r="G35" s="200">
        <f t="shared" si="54"/>
        <v>0</v>
      </c>
      <c r="H35" s="200"/>
      <c r="I35" s="200"/>
      <c r="J35" s="200">
        <f t="shared" si="55"/>
        <v>0</v>
      </c>
      <c r="K35" s="200"/>
      <c r="L35" s="200"/>
      <c r="M35" s="200">
        <f t="shared" si="25"/>
        <v>0</v>
      </c>
      <c r="N35" s="200">
        <f t="shared" si="26"/>
        <v>0</v>
      </c>
      <c r="O35" s="200">
        <v>0</v>
      </c>
      <c r="P35" s="200"/>
      <c r="Q35" s="200">
        <f t="shared" si="27"/>
        <v>0</v>
      </c>
      <c r="R35" s="200">
        <v>0</v>
      </c>
      <c r="S35" s="200"/>
      <c r="T35" s="200">
        <f t="shared" si="28"/>
        <v>8</v>
      </c>
      <c r="U35" s="200">
        <f t="shared" si="29"/>
        <v>0</v>
      </c>
      <c r="V35" s="200">
        <v>0</v>
      </c>
      <c r="W35" s="200"/>
      <c r="X35" s="200">
        <f t="shared" si="30"/>
        <v>8</v>
      </c>
      <c r="Y35" s="200">
        <v>8</v>
      </c>
      <c r="Z35" s="200"/>
      <c r="AA35" s="199">
        <f t="shared" si="56"/>
        <v>0</v>
      </c>
      <c r="AB35" s="200">
        <f t="shared" si="57"/>
        <v>0</v>
      </c>
      <c r="AC35" s="200">
        <f t="shared" si="58"/>
        <v>0</v>
      </c>
      <c r="AD35" s="200">
        <f t="shared" si="59"/>
        <v>0</v>
      </c>
      <c r="AE35" s="200">
        <f t="shared" si="60"/>
        <v>0</v>
      </c>
      <c r="AF35" s="200"/>
      <c r="AG35" s="200"/>
      <c r="AH35" s="200">
        <f t="shared" si="61"/>
        <v>0</v>
      </c>
      <c r="AI35" s="200"/>
      <c r="AJ35" s="200"/>
      <c r="AK35" s="200">
        <f t="shared" si="31"/>
        <v>0</v>
      </c>
      <c r="AL35" s="200">
        <f t="shared" si="32"/>
        <v>0</v>
      </c>
      <c r="AM35" s="200"/>
      <c r="AN35" s="200"/>
      <c r="AO35" s="200">
        <f t="shared" si="33"/>
        <v>0</v>
      </c>
      <c r="AP35" s="200"/>
      <c r="AQ35" s="200"/>
      <c r="AR35" s="200">
        <f t="shared" si="34"/>
        <v>0</v>
      </c>
      <c r="AS35" s="200">
        <f t="shared" si="35"/>
        <v>0</v>
      </c>
      <c r="AT35" s="200"/>
      <c r="AU35" s="200"/>
      <c r="AV35" s="200">
        <f t="shared" si="36"/>
        <v>0</v>
      </c>
      <c r="AW35" s="200"/>
      <c r="AX35" s="200"/>
      <c r="AY35" s="201">
        <f t="shared" si="37"/>
        <v>0</v>
      </c>
      <c r="AZ35" s="201"/>
      <c r="BA35" s="201">
        <f t="shared" si="38"/>
        <v>0</v>
      </c>
      <c r="BB35" s="201"/>
      <c r="BC35" s="201"/>
      <c r="BD35" s="201"/>
      <c r="BE35" s="201"/>
      <c r="BF35" s="201"/>
      <c r="BG35" s="201"/>
      <c r="BH35" s="201"/>
      <c r="BI35" s="201"/>
      <c r="BJ35" s="201"/>
      <c r="BK35" s="201"/>
      <c r="BL35" s="201"/>
      <c r="BM35" s="201"/>
      <c r="BN35" s="201"/>
      <c r="BO35" s="201"/>
      <c r="BP35" s="201">
        <f t="shared" si="45"/>
        <v>0</v>
      </c>
      <c r="BQ35" s="201"/>
      <c r="BR35" s="201"/>
      <c r="BS35" s="201"/>
      <c r="BT35" s="201">
        <f t="shared" si="48"/>
        <v>0</v>
      </c>
      <c r="BU35" s="201">
        <f t="shared" si="49"/>
        <v>0</v>
      </c>
      <c r="BV35" s="201"/>
    </row>
    <row r="36" spans="1:76" ht="25.5">
      <c r="A36" s="190">
        <v>23</v>
      </c>
      <c r="B36" s="191" t="s">
        <v>740</v>
      </c>
      <c r="C36" s="199">
        <f t="shared" si="50"/>
        <v>4741</v>
      </c>
      <c r="D36" s="200">
        <f t="shared" si="51"/>
        <v>0</v>
      </c>
      <c r="E36" s="200">
        <f t="shared" si="52"/>
        <v>4741</v>
      </c>
      <c r="F36" s="200">
        <f t="shared" si="53"/>
        <v>0</v>
      </c>
      <c r="G36" s="200">
        <f t="shared" si="54"/>
        <v>0</v>
      </c>
      <c r="H36" s="200"/>
      <c r="I36" s="200"/>
      <c r="J36" s="200">
        <f t="shared" si="55"/>
        <v>0</v>
      </c>
      <c r="K36" s="200"/>
      <c r="L36" s="200"/>
      <c r="M36" s="200">
        <f t="shared" si="25"/>
        <v>0</v>
      </c>
      <c r="N36" s="200">
        <f t="shared" si="26"/>
        <v>0</v>
      </c>
      <c r="O36" s="200">
        <v>0</v>
      </c>
      <c r="P36" s="200"/>
      <c r="Q36" s="200">
        <f t="shared" si="27"/>
        <v>0</v>
      </c>
      <c r="R36" s="200">
        <v>0</v>
      </c>
      <c r="S36" s="200"/>
      <c r="T36" s="200">
        <f t="shared" si="28"/>
        <v>4741</v>
      </c>
      <c r="U36" s="200">
        <f t="shared" si="29"/>
        <v>0</v>
      </c>
      <c r="V36" s="200">
        <v>0</v>
      </c>
      <c r="W36" s="200"/>
      <c r="X36" s="200">
        <f t="shared" si="30"/>
        <v>4741</v>
      </c>
      <c r="Y36" s="200">
        <v>4741</v>
      </c>
      <c r="Z36" s="200"/>
      <c r="AA36" s="199">
        <f t="shared" si="56"/>
        <v>2484.4056</v>
      </c>
      <c r="AB36" s="200">
        <f t="shared" si="57"/>
        <v>0</v>
      </c>
      <c r="AC36" s="200">
        <f t="shared" si="58"/>
        <v>2484.4056</v>
      </c>
      <c r="AD36" s="200">
        <f t="shared" si="59"/>
        <v>0</v>
      </c>
      <c r="AE36" s="200">
        <f t="shared" si="60"/>
        <v>0</v>
      </c>
      <c r="AF36" s="200"/>
      <c r="AG36" s="200"/>
      <c r="AH36" s="200">
        <f t="shared" si="61"/>
        <v>0</v>
      </c>
      <c r="AI36" s="200"/>
      <c r="AJ36" s="200"/>
      <c r="AK36" s="200">
        <f t="shared" si="31"/>
        <v>0</v>
      </c>
      <c r="AL36" s="200">
        <f t="shared" si="32"/>
        <v>0</v>
      </c>
      <c r="AM36" s="200"/>
      <c r="AN36" s="200"/>
      <c r="AO36" s="200">
        <f t="shared" si="33"/>
        <v>0</v>
      </c>
      <c r="AP36" s="200"/>
      <c r="AQ36" s="200"/>
      <c r="AR36" s="200">
        <f t="shared" si="34"/>
        <v>2484.4056</v>
      </c>
      <c r="AS36" s="200">
        <f t="shared" si="35"/>
        <v>0</v>
      </c>
      <c r="AT36" s="200"/>
      <c r="AU36" s="200"/>
      <c r="AV36" s="200">
        <f t="shared" si="36"/>
        <v>2484.4056</v>
      </c>
      <c r="AW36" s="200">
        <v>2484.4056</v>
      </c>
      <c r="AX36" s="200"/>
      <c r="AY36" s="201">
        <f t="shared" si="37"/>
        <v>0.52402564859734235</v>
      </c>
      <c r="AZ36" s="201"/>
      <c r="BA36" s="201">
        <f t="shared" si="38"/>
        <v>0.52402564859734235</v>
      </c>
      <c r="BB36" s="201"/>
      <c r="BC36" s="201"/>
      <c r="BD36" s="201"/>
      <c r="BE36" s="201"/>
      <c r="BF36" s="201"/>
      <c r="BG36" s="201"/>
      <c r="BH36" s="201"/>
      <c r="BI36" s="201"/>
      <c r="BJ36" s="201"/>
      <c r="BK36" s="201"/>
      <c r="BL36" s="201"/>
      <c r="BM36" s="201"/>
      <c r="BN36" s="201"/>
      <c r="BO36" s="201"/>
      <c r="BP36" s="201">
        <f t="shared" si="45"/>
        <v>0.52402564859734235</v>
      </c>
      <c r="BQ36" s="201"/>
      <c r="BR36" s="201"/>
      <c r="BS36" s="201"/>
      <c r="BT36" s="201">
        <f t="shared" si="48"/>
        <v>0.52402564859734235</v>
      </c>
      <c r="BU36" s="201">
        <f t="shared" si="49"/>
        <v>0.52402564859734235</v>
      </c>
      <c r="BV36" s="201"/>
    </row>
    <row r="37" spans="1:76" ht="25.5">
      <c r="A37" s="190">
        <v>24</v>
      </c>
      <c r="B37" s="191" t="s">
        <v>741</v>
      </c>
      <c r="C37" s="199">
        <f t="shared" si="50"/>
        <v>690</v>
      </c>
      <c r="D37" s="200">
        <f t="shared" si="51"/>
        <v>0</v>
      </c>
      <c r="E37" s="200">
        <f t="shared" si="52"/>
        <v>690</v>
      </c>
      <c r="F37" s="200">
        <f t="shared" si="53"/>
        <v>0</v>
      </c>
      <c r="G37" s="200">
        <f t="shared" si="54"/>
        <v>0</v>
      </c>
      <c r="H37" s="200"/>
      <c r="I37" s="200"/>
      <c r="J37" s="200">
        <f t="shared" si="55"/>
        <v>0</v>
      </c>
      <c r="K37" s="200"/>
      <c r="L37" s="200"/>
      <c r="M37" s="200">
        <f t="shared" si="25"/>
        <v>0</v>
      </c>
      <c r="N37" s="200">
        <f t="shared" si="26"/>
        <v>0</v>
      </c>
      <c r="O37" s="200">
        <v>0</v>
      </c>
      <c r="P37" s="200"/>
      <c r="Q37" s="200">
        <f t="shared" si="27"/>
        <v>0</v>
      </c>
      <c r="R37" s="200">
        <v>0</v>
      </c>
      <c r="S37" s="200"/>
      <c r="T37" s="200">
        <f t="shared" si="28"/>
        <v>690</v>
      </c>
      <c r="U37" s="200">
        <f t="shared" si="29"/>
        <v>0</v>
      </c>
      <c r="V37" s="200">
        <v>0</v>
      </c>
      <c r="W37" s="200"/>
      <c r="X37" s="200">
        <f t="shared" si="30"/>
        <v>690</v>
      </c>
      <c r="Y37" s="200">
        <v>690</v>
      </c>
      <c r="Z37" s="200"/>
      <c r="AA37" s="199">
        <f t="shared" si="56"/>
        <v>407.01049999999998</v>
      </c>
      <c r="AB37" s="200">
        <f t="shared" si="57"/>
        <v>0</v>
      </c>
      <c r="AC37" s="200">
        <f t="shared" si="58"/>
        <v>407.01049999999998</v>
      </c>
      <c r="AD37" s="200">
        <f t="shared" si="59"/>
        <v>0</v>
      </c>
      <c r="AE37" s="200">
        <f t="shared" si="60"/>
        <v>0</v>
      </c>
      <c r="AF37" s="200"/>
      <c r="AG37" s="200"/>
      <c r="AH37" s="200">
        <f t="shared" si="61"/>
        <v>0</v>
      </c>
      <c r="AI37" s="200"/>
      <c r="AJ37" s="200"/>
      <c r="AK37" s="200">
        <f t="shared" si="31"/>
        <v>0</v>
      </c>
      <c r="AL37" s="200">
        <f t="shared" si="32"/>
        <v>0</v>
      </c>
      <c r="AM37" s="200"/>
      <c r="AN37" s="200"/>
      <c r="AO37" s="200">
        <f t="shared" si="33"/>
        <v>0</v>
      </c>
      <c r="AP37" s="200"/>
      <c r="AQ37" s="200"/>
      <c r="AR37" s="200">
        <f t="shared" si="34"/>
        <v>407.01049999999998</v>
      </c>
      <c r="AS37" s="200">
        <f t="shared" si="35"/>
        <v>0</v>
      </c>
      <c r="AT37" s="200"/>
      <c r="AU37" s="200"/>
      <c r="AV37" s="200">
        <f t="shared" si="36"/>
        <v>407.01049999999998</v>
      </c>
      <c r="AW37" s="200">
        <v>407.01049999999998</v>
      </c>
      <c r="AX37" s="200"/>
      <c r="AY37" s="201">
        <f t="shared" si="37"/>
        <v>0.58987028985507239</v>
      </c>
      <c r="AZ37" s="201"/>
      <c r="BA37" s="201">
        <f t="shared" si="38"/>
        <v>0.58987028985507239</v>
      </c>
      <c r="BB37" s="201"/>
      <c r="BC37" s="201"/>
      <c r="BD37" s="201"/>
      <c r="BE37" s="201"/>
      <c r="BF37" s="201"/>
      <c r="BG37" s="201"/>
      <c r="BH37" s="201"/>
      <c r="BI37" s="201"/>
      <c r="BJ37" s="201"/>
      <c r="BK37" s="201"/>
      <c r="BL37" s="201"/>
      <c r="BM37" s="201"/>
      <c r="BN37" s="201"/>
      <c r="BO37" s="201"/>
      <c r="BP37" s="201">
        <f t="shared" si="45"/>
        <v>0.58987028985507239</v>
      </c>
      <c r="BQ37" s="201"/>
      <c r="BR37" s="201"/>
      <c r="BS37" s="201"/>
      <c r="BT37" s="201">
        <f t="shared" si="48"/>
        <v>0.58987028985507239</v>
      </c>
      <c r="BU37" s="201">
        <f t="shared" si="49"/>
        <v>0.58987028985507239</v>
      </c>
      <c r="BV37" s="201"/>
    </row>
    <row r="38" spans="1:76">
      <c r="A38" s="190">
        <v>25</v>
      </c>
      <c r="B38" s="191" t="s">
        <v>742</v>
      </c>
      <c r="C38" s="199">
        <f t="shared" si="50"/>
        <v>8</v>
      </c>
      <c r="D38" s="200">
        <f t="shared" si="51"/>
        <v>0</v>
      </c>
      <c r="E38" s="200">
        <f t="shared" si="52"/>
        <v>8</v>
      </c>
      <c r="F38" s="200">
        <f t="shared" si="53"/>
        <v>0</v>
      </c>
      <c r="G38" s="200">
        <f t="shared" si="54"/>
        <v>0</v>
      </c>
      <c r="H38" s="200"/>
      <c r="I38" s="200"/>
      <c r="J38" s="200">
        <f t="shared" si="55"/>
        <v>0</v>
      </c>
      <c r="K38" s="200"/>
      <c r="L38" s="200"/>
      <c r="M38" s="200">
        <f t="shared" si="25"/>
        <v>0</v>
      </c>
      <c r="N38" s="200">
        <f t="shared" si="26"/>
        <v>0</v>
      </c>
      <c r="O38" s="200">
        <v>0</v>
      </c>
      <c r="P38" s="200"/>
      <c r="Q38" s="200">
        <f t="shared" si="27"/>
        <v>0</v>
      </c>
      <c r="R38" s="200">
        <v>0</v>
      </c>
      <c r="S38" s="200"/>
      <c r="T38" s="200">
        <f t="shared" si="28"/>
        <v>8</v>
      </c>
      <c r="U38" s="200">
        <f t="shared" si="29"/>
        <v>0</v>
      </c>
      <c r="V38" s="200">
        <v>0</v>
      </c>
      <c r="W38" s="200"/>
      <c r="X38" s="200">
        <f t="shared" si="30"/>
        <v>8</v>
      </c>
      <c r="Y38" s="200">
        <v>8</v>
      </c>
      <c r="Z38" s="200"/>
      <c r="AA38" s="199">
        <f t="shared" si="56"/>
        <v>8</v>
      </c>
      <c r="AB38" s="200">
        <f t="shared" si="57"/>
        <v>0</v>
      </c>
      <c r="AC38" s="200">
        <f t="shared" si="58"/>
        <v>8</v>
      </c>
      <c r="AD38" s="200">
        <f t="shared" si="59"/>
        <v>0</v>
      </c>
      <c r="AE38" s="200">
        <f t="shared" si="60"/>
        <v>0</v>
      </c>
      <c r="AF38" s="200"/>
      <c r="AG38" s="200"/>
      <c r="AH38" s="200">
        <f t="shared" si="61"/>
        <v>0</v>
      </c>
      <c r="AI38" s="200"/>
      <c r="AJ38" s="200"/>
      <c r="AK38" s="200">
        <f t="shared" si="31"/>
        <v>0</v>
      </c>
      <c r="AL38" s="200">
        <f t="shared" si="32"/>
        <v>0</v>
      </c>
      <c r="AM38" s="200"/>
      <c r="AN38" s="200"/>
      <c r="AO38" s="200">
        <f t="shared" si="33"/>
        <v>0</v>
      </c>
      <c r="AP38" s="200"/>
      <c r="AQ38" s="200"/>
      <c r="AR38" s="200">
        <f t="shared" si="34"/>
        <v>8</v>
      </c>
      <c r="AS38" s="200">
        <f t="shared" si="35"/>
        <v>0</v>
      </c>
      <c r="AT38" s="200"/>
      <c r="AU38" s="200"/>
      <c r="AV38" s="200">
        <f t="shared" si="36"/>
        <v>8</v>
      </c>
      <c r="AW38" s="200">
        <v>8</v>
      </c>
      <c r="AX38" s="200"/>
      <c r="AY38" s="201">
        <f t="shared" si="37"/>
        <v>1</v>
      </c>
      <c r="AZ38" s="201"/>
      <c r="BA38" s="201">
        <f t="shared" si="38"/>
        <v>1</v>
      </c>
      <c r="BB38" s="201"/>
      <c r="BC38" s="201"/>
      <c r="BD38" s="201"/>
      <c r="BE38" s="201"/>
      <c r="BF38" s="201"/>
      <c r="BG38" s="201"/>
      <c r="BH38" s="201"/>
      <c r="BI38" s="201"/>
      <c r="BJ38" s="201"/>
      <c r="BK38" s="201"/>
      <c r="BL38" s="201"/>
      <c r="BM38" s="201"/>
      <c r="BN38" s="201"/>
      <c r="BO38" s="201"/>
      <c r="BP38" s="201">
        <f t="shared" si="45"/>
        <v>1</v>
      </c>
      <c r="BQ38" s="201"/>
      <c r="BR38" s="201"/>
      <c r="BS38" s="201"/>
      <c r="BT38" s="201">
        <f t="shared" si="48"/>
        <v>1</v>
      </c>
      <c r="BU38" s="201">
        <f t="shared" si="49"/>
        <v>1</v>
      </c>
      <c r="BV38" s="201"/>
    </row>
    <row r="39" spans="1:76">
      <c r="A39" s="190">
        <v>26</v>
      </c>
      <c r="B39" s="191" t="s">
        <v>743</v>
      </c>
      <c r="C39" s="199">
        <f t="shared" si="50"/>
        <v>300</v>
      </c>
      <c r="D39" s="200">
        <f t="shared" si="51"/>
        <v>0</v>
      </c>
      <c r="E39" s="200">
        <f t="shared" si="52"/>
        <v>300</v>
      </c>
      <c r="F39" s="200">
        <f t="shared" si="53"/>
        <v>0</v>
      </c>
      <c r="G39" s="200">
        <f t="shared" si="54"/>
        <v>0</v>
      </c>
      <c r="H39" s="200"/>
      <c r="I39" s="200"/>
      <c r="J39" s="200">
        <f t="shared" si="55"/>
        <v>0</v>
      </c>
      <c r="K39" s="200"/>
      <c r="L39" s="200"/>
      <c r="M39" s="200">
        <f t="shared" si="25"/>
        <v>0</v>
      </c>
      <c r="N39" s="200">
        <f t="shared" si="26"/>
        <v>0</v>
      </c>
      <c r="O39" s="200">
        <v>0</v>
      </c>
      <c r="P39" s="200"/>
      <c r="Q39" s="200">
        <f t="shared" si="27"/>
        <v>0</v>
      </c>
      <c r="R39" s="200">
        <v>0</v>
      </c>
      <c r="S39" s="200"/>
      <c r="T39" s="200">
        <f t="shared" si="28"/>
        <v>300</v>
      </c>
      <c r="U39" s="200">
        <f t="shared" si="29"/>
        <v>0</v>
      </c>
      <c r="V39" s="200">
        <v>0</v>
      </c>
      <c r="W39" s="200"/>
      <c r="X39" s="200">
        <f t="shared" si="30"/>
        <v>300</v>
      </c>
      <c r="Y39" s="200">
        <v>300</v>
      </c>
      <c r="Z39" s="200"/>
      <c r="AA39" s="199">
        <f t="shared" si="56"/>
        <v>0</v>
      </c>
      <c r="AB39" s="200">
        <f t="shared" si="57"/>
        <v>0</v>
      </c>
      <c r="AC39" s="200">
        <f t="shared" si="58"/>
        <v>0</v>
      </c>
      <c r="AD39" s="200">
        <f t="shared" si="59"/>
        <v>0</v>
      </c>
      <c r="AE39" s="200">
        <f t="shared" si="60"/>
        <v>0</v>
      </c>
      <c r="AF39" s="200"/>
      <c r="AG39" s="200"/>
      <c r="AH39" s="200">
        <f t="shared" si="61"/>
        <v>0</v>
      </c>
      <c r="AI39" s="200"/>
      <c r="AJ39" s="200"/>
      <c r="AK39" s="200">
        <f t="shared" si="31"/>
        <v>0</v>
      </c>
      <c r="AL39" s="200">
        <f t="shared" si="32"/>
        <v>0</v>
      </c>
      <c r="AM39" s="200"/>
      <c r="AN39" s="200"/>
      <c r="AO39" s="200">
        <f t="shared" si="33"/>
        <v>0</v>
      </c>
      <c r="AP39" s="200"/>
      <c r="AQ39" s="200"/>
      <c r="AR39" s="200">
        <f t="shared" si="34"/>
        <v>0</v>
      </c>
      <c r="AS39" s="200">
        <f t="shared" si="35"/>
        <v>0</v>
      </c>
      <c r="AT39" s="200"/>
      <c r="AU39" s="200"/>
      <c r="AV39" s="200">
        <f t="shared" si="36"/>
        <v>0</v>
      </c>
      <c r="AW39" s="200"/>
      <c r="AX39" s="200"/>
      <c r="AY39" s="201">
        <f t="shared" si="37"/>
        <v>0</v>
      </c>
      <c r="AZ39" s="201"/>
      <c r="BA39" s="201">
        <f t="shared" si="38"/>
        <v>0</v>
      </c>
      <c r="BB39" s="201"/>
      <c r="BC39" s="201"/>
      <c r="BD39" s="201"/>
      <c r="BE39" s="201"/>
      <c r="BF39" s="201"/>
      <c r="BG39" s="201"/>
      <c r="BH39" s="201"/>
      <c r="BI39" s="201"/>
      <c r="BJ39" s="201"/>
      <c r="BK39" s="201"/>
      <c r="BL39" s="201"/>
      <c r="BM39" s="201"/>
      <c r="BN39" s="201"/>
      <c r="BO39" s="201"/>
      <c r="BP39" s="201">
        <f t="shared" si="45"/>
        <v>0</v>
      </c>
      <c r="BQ39" s="201"/>
      <c r="BR39" s="201"/>
      <c r="BS39" s="201"/>
      <c r="BT39" s="201">
        <f t="shared" si="48"/>
        <v>0</v>
      </c>
      <c r="BU39" s="201">
        <f t="shared" si="49"/>
        <v>0</v>
      </c>
      <c r="BV39" s="201"/>
    </row>
    <row r="40" spans="1:76">
      <c r="A40" s="190">
        <v>27</v>
      </c>
      <c r="B40" s="191" t="s">
        <v>232</v>
      </c>
      <c r="C40" s="199">
        <f t="shared" si="50"/>
        <v>450</v>
      </c>
      <c r="D40" s="200">
        <f t="shared" si="51"/>
        <v>0</v>
      </c>
      <c r="E40" s="200">
        <f t="shared" si="52"/>
        <v>450</v>
      </c>
      <c r="F40" s="200">
        <f t="shared" si="53"/>
        <v>150</v>
      </c>
      <c r="G40" s="200">
        <f t="shared" si="54"/>
        <v>0</v>
      </c>
      <c r="H40" s="200"/>
      <c r="I40" s="200"/>
      <c r="J40" s="200">
        <f t="shared" si="55"/>
        <v>150</v>
      </c>
      <c r="K40" s="200">
        <v>150</v>
      </c>
      <c r="L40" s="200"/>
      <c r="M40" s="200">
        <f t="shared" si="25"/>
        <v>0</v>
      </c>
      <c r="N40" s="200">
        <f t="shared" si="26"/>
        <v>0</v>
      </c>
      <c r="O40" s="200">
        <v>0</v>
      </c>
      <c r="P40" s="200"/>
      <c r="Q40" s="200">
        <f t="shared" si="27"/>
        <v>0</v>
      </c>
      <c r="R40" s="200">
        <v>0</v>
      </c>
      <c r="S40" s="200"/>
      <c r="T40" s="200">
        <f t="shared" si="28"/>
        <v>300</v>
      </c>
      <c r="U40" s="200">
        <f t="shared" si="29"/>
        <v>0</v>
      </c>
      <c r="V40" s="200">
        <v>0</v>
      </c>
      <c r="W40" s="200"/>
      <c r="X40" s="200">
        <f t="shared" si="30"/>
        <v>300</v>
      </c>
      <c r="Y40" s="200">
        <v>300</v>
      </c>
      <c r="Z40" s="200"/>
      <c r="AA40" s="199">
        <f t="shared" si="56"/>
        <v>450</v>
      </c>
      <c r="AB40" s="200">
        <f t="shared" si="57"/>
        <v>0</v>
      </c>
      <c r="AC40" s="200">
        <f t="shared" si="58"/>
        <v>450</v>
      </c>
      <c r="AD40" s="200">
        <f t="shared" si="59"/>
        <v>150</v>
      </c>
      <c r="AE40" s="200">
        <f t="shared" si="60"/>
        <v>0</v>
      </c>
      <c r="AF40" s="200"/>
      <c r="AG40" s="200"/>
      <c r="AH40" s="200">
        <f t="shared" si="61"/>
        <v>150</v>
      </c>
      <c r="AI40" s="200">
        <v>150</v>
      </c>
      <c r="AJ40" s="200"/>
      <c r="AK40" s="200">
        <f t="shared" si="31"/>
        <v>0</v>
      </c>
      <c r="AL40" s="200">
        <f t="shared" si="32"/>
        <v>0</v>
      </c>
      <c r="AM40" s="200"/>
      <c r="AN40" s="200"/>
      <c r="AO40" s="200">
        <f t="shared" si="33"/>
        <v>0</v>
      </c>
      <c r="AP40" s="200"/>
      <c r="AQ40" s="200"/>
      <c r="AR40" s="200">
        <f t="shared" si="34"/>
        <v>300</v>
      </c>
      <c r="AS40" s="200">
        <f t="shared" si="35"/>
        <v>0</v>
      </c>
      <c r="AT40" s="200"/>
      <c r="AU40" s="200"/>
      <c r="AV40" s="200">
        <f t="shared" si="36"/>
        <v>300</v>
      </c>
      <c r="AW40" s="200">
        <v>300</v>
      </c>
      <c r="AX40" s="200"/>
      <c r="AY40" s="201">
        <f t="shared" ref="AY40" si="65">AA40/C40</f>
        <v>1</v>
      </c>
      <c r="AZ40" s="201"/>
      <c r="BA40" s="201">
        <f t="shared" si="38"/>
        <v>1</v>
      </c>
      <c r="BB40" s="201">
        <f t="shared" si="39"/>
        <v>1</v>
      </c>
      <c r="BC40" s="201"/>
      <c r="BD40" s="201"/>
      <c r="BE40" s="201"/>
      <c r="BF40" s="201">
        <f t="shared" si="40"/>
        <v>1</v>
      </c>
      <c r="BG40" s="201">
        <f t="shared" si="41"/>
        <v>1</v>
      </c>
      <c r="BH40" s="201"/>
      <c r="BI40" s="201"/>
      <c r="BJ40" s="201"/>
      <c r="BK40" s="201"/>
      <c r="BL40" s="201"/>
      <c r="BM40" s="201"/>
      <c r="BN40" s="201"/>
      <c r="BO40" s="201"/>
      <c r="BP40" s="201">
        <f t="shared" si="45"/>
        <v>1</v>
      </c>
      <c r="BQ40" s="201"/>
      <c r="BR40" s="201"/>
      <c r="BS40" s="201"/>
      <c r="BT40" s="201">
        <f t="shared" si="48"/>
        <v>1</v>
      </c>
      <c r="BU40" s="201">
        <f t="shared" si="49"/>
        <v>1</v>
      </c>
      <c r="BV40" s="201"/>
    </row>
    <row r="41" spans="1:76">
      <c r="A41" s="358">
        <v>28</v>
      </c>
      <c r="B41" s="359" t="s">
        <v>302</v>
      </c>
      <c r="C41" s="360">
        <f t="shared" si="50"/>
        <v>0</v>
      </c>
      <c r="D41" s="361">
        <f t="shared" si="51"/>
        <v>0</v>
      </c>
      <c r="E41" s="361">
        <f t="shared" si="52"/>
        <v>0</v>
      </c>
      <c r="F41" s="361">
        <f t="shared" si="53"/>
        <v>0</v>
      </c>
      <c r="G41" s="361"/>
      <c r="H41" s="361"/>
      <c r="I41" s="361"/>
      <c r="J41" s="361">
        <f t="shared" si="55"/>
        <v>0</v>
      </c>
      <c r="K41" s="361"/>
      <c r="L41" s="361"/>
      <c r="M41" s="361">
        <f t="shared" si="25"/>
        <v>0</v>
      </c>
      <c r="N41" s="361">
        <f t="shared" si="26"/>
        <v>0</v>
      </c>
      <c r="O41" s="361">
        <v>0</v>
      </c>
      <c r="P41" s="361"/>
      <c r="Q41" s="361">
        <f t="shared" si="27"/>
        <v>0</v>
      </c>
      <c r="R41" s="361">
        <v>0</v>
      </c>
      <c r="S41" s="361"/>
      <c r="T41" s="361"/>
      <c r="U41" s="361"/>
      <c r="V41" s="361"/>
      <c r="W41" s="361"/>
      <c r="X41" s="361"/>
      <c r="Y41" s="361"/>
      <c r="Z41" s="361"/>
      <c r="AA41" s="360">
        <f t="shared" si="56"/>
        <v>50</v>
      </c>
      <c r="AB41" s="361">
        <f t="shared" si="57"/>
        <v>50</v>
      </c>
      <c r="AC41" s="361">
        <f t="shared" si="58"/>
        <v>0</v>
      </c>
      <c r="AD41" s="361"/>
      <c r="AE41" s="361"/>
      <c r="AF41" s="361"/>
      <c r="AG41" s="361"/>
      <c r="AH41" s="361"/>
      <c r="AI41" s="361"/>
      <c r="AJ41" s="361"/>
      <c r="AK41" s="361">
        <f t="shared" si="31"/>
        <v>50</v>
      </c>
      <c r="AL41" s="361">
        <f t="shared" si="32"/>
        <v>50</v>
      </c>
      <c r="AM41" s="361">
        <v>50</v>
      </c>
      <c r="AN41" s="361"/>
      <c r="AO41" s="361">
        <f t="shared" si="33"/>
        <v>0</v>
      </c>
      <c r="AP41" s="361"/>
      <c r="AQ41" s="361"/>
      <c r="AR41" s="361"/>
      <c r="AS41" s="361"/>
      <c r="AT41" s="361"/>
      <c r="AU41" s="361"/>
      <c r="AV41" s="361"/>
      <c r="AW41" s="361"/>
      <c r="AX41" s="361"/>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row>
    <row r="42" spans="1:76" s="76" customFormat="1" ht="14.25">
      <c r="A42" s="188" t="s">
        <v>33</v>
      </c>
      <c r="B42" s="189" t="s">
        <v>304</v>
      </c>
      <c r="C42" s="202">
        <f>SUM(C43:C52)</f>
        <v>773111</v>
      </c>
      <c r="D42" s="202">
        <f t="shared" ref="D42:Z42" si="66">SUM(D43:D52)</f>
        <v>607500</v>
      </c>
      <c r="E42" s="202">
        <f t="shared" si="66"/>
        <v>165611</v>
      </c>
      <c r="F42" s="202">
        <f t="shared" si="66"/>
        <v>153980</v>
      </c>
      <c r="G42" s="202">
        <f t="shared" si="66"/>
        <v>135050</v>
      </c>
      <c r="H42" s="202">
        <f t="shared" si="66"/>
        <v>135050</v>
      </c>
      <c r="I42" s="202">
        <f t="shared" si="66"/>
        <v>0</v>
      </c>
      <c r="J42" s="202">
        <f t="shared" si="66"/>
        <v>18930</v>
      </c>
      <c r="K42" s="202">
        <f t="shared" si="66"/>
        <v>18930</v>
      </c>
      <c r="L42" s="202">
        <f t="shared" si="66"/>
        <v>0</v>
      </c>
      <c r="M42" s="202">
        <f t="shared" si="66"/>
        <v>238193</v>
      </c>
      <c r="N42" s="202">
        <f t="shared" si="66"/>
        <v>191019</v>
      </c>
      <c r="O42" s="202">
        <f t="shared" si="66"/>
        <v>191019</v>
      </c>
      <c r="P42" s="202">
        <f t="shared" si="66"/>
        <v>0</v>
      </c>
      <c r="Q42" s="202">
        <f t="shared" si="66"/>
        <v>47174</v>
      </c>
      <c r="R42" s="202">
        <f t="shared" si="66"/>
        <v>47174</v>
      </c>
      <c r="S42" s="202">
        <f t="shared" si="66"/>
        <v>0</v>
      </c>
      <c r="T42" s="202">
        <f t="shared" si="66"/>
        <v>380938</v>
      </c>
      <c r="U42" s="202">
        <f t="shared" si="66"/>
        <v>281431</v>
      </c>
      <c r="V42" s="202">
        <f t="shared" si="66"/>
        <v>281431</v>
      </c>
      <c r="W42" s="202">
        <f t="shared" si="66"/>
        <v>0</v>
      </c>
      <c r="X42" s="202">
        <f t="shared" si="66"/>
        <v>99507</v>
      </c>
      <c r="Y42" s="202">
        <f t="shared" si="66"/>
        <v>99507</v>
      </c>
      <c r="Z42" s="202">
        <f t="shared" si="66"/>
        <v>0</v>
      </c>
      <c r="AA42" s="202">
        <f>SUM(AA43:AA52)</f>
        <v>280456.53367900004</v>
      </c>
      <c r="AB42" s="202">
        <f t="shared" ref="AB42" si="67">SUM(AB43:AB52)</f>
        <v>233145.09021700002</v>
      </c>
      <c r="AC42" s="202">
        <f t="shared" ref="AC42" si="68">SUM(AC43:AC52)</f>
        <v>47311.443462000003</v>
      </c>
      <c r="AD42" s="202">
        <f t="shared" ref="AD42" si="69">SUM(AD43:AD52)</f>
        <v>89741.390210000012</v>
      </c>
      <c r="AE42" s="202">
        <f t="shared" ref="AE42" si="70">SUM(AE43:AE52)</f>
        <v>82480.322801000002</v>
      </c>
      <c r="AF42" s="202">
        <f t="shared" ref="AF42" si="71">SUM(AF43:AF52)</f>
        <v>82480.322801000002</v>
      </c>
      <c r="AG42" s="202">
        <f t="shared" ref="AG42" si="72">SUM(AG43:AG52)</f>
        <v>0</v>
      </c>
      <c r="AH42" s="202">
        <f t="shared" ref="AH42" si="73">SUM(AH43:AH52)</f>
        <v>7261.0674090000002</v>
      </c>
      <c r="AI42" s="202">
        <f t="shared" ref="AI42" si="74">SUM(AI43:AI52)</f>
        <v>7261.0674090000002</v>
      </c>
      <c r="AJ42" s="202">
        <f t="shared" ref="AJ42" si="75">SUM(AJ43:AJ52)</f>
        <v>0</v>
      </c>
      <c r="AK42" s="202">
        <f t="shared" ref="AK42" si="76">SUM(AK43:AK52)</f>
        <v>69923.151704999997</v>
      </c>
      <c r="AL42" s="202">
        <f t="shared" ref="AL42" si="77">SUM(AL43:AL52)</f>
        <v>56753.948300000004</v>
      </c>
      <c r="AM42" s="202">
        <f t="shared" ref="AM42" si="78">SUM(AM43:AM52)</f>
        <v>56753.948300000004</v>
      </c>
      <c r="AN42" s="202">
        <f t="shared" ref="AN42" si="79">SUM(AN43:AN52)</f>
        <v>0</v>
      </c>
      <c r="AO42" s="202">
        <f t="shared" ref="AO42" si="80">SUM(AO43:AO52)</f>
        <v>13169.203405</v>
      </c>
      <c r="AP42" s="202">
        <f t="shared" ref="AP42" si="81">SUM(AP43:AP52)</f>
        <v>13169.203405</v>
      </c>
      <c r="AQ42" s="202">
        <f t="shared" ref="AQ42" si="82">SUM(AQ43:AQ52)</f>
        <v>0</v>
      </c>
      <c r="AR42" s="202">
        <f t="shared" ref="AR42" si="83">SUM(AR43:AR52)</f>
        <v>120791.99176400001</v>
      </c>
      <c r="AS42" s="202">
        <f t="shared" ref="AS42" si="84">SUM(AS43:AS52)</f>
        <v>93910.819115999999</v>
      </c>
      <c r="AT42" s="202">
        <f t="shared" ref="AT42" si="85">SUM(AT43:AT52)</f>
        <v>93910.819115999999</v>
      </c>
      <c r="AU42" s="202">
        <f t="shared" ref="AU42" si="86">SUM(AU43:AU52)</f>
        <v>0</v>
      </c>
      <c r="AV42" s="202">
        <f t="shared" ref="AV42" si="87">SUM(AV43:AV52)</f>
        <v>26881.172648000003</v>
      </c>
      <c r="AW42" s="202">
        <f t="shared" ref="AW42" si="88">SUM(AW43:AW52)</f>
        <v>26881.172648000003</v>
      </c>
      <c r="AX42" s="202">
        <f t="shared" ref="AX42" si="89">SUM(AX43:AX52)</f>
        <v>0</v>
      </c>
      <c r="AY42" s="203">
        <f t="shared" ref="AY42:AY52" si="90">AA42/C42</f>
        <v>0.36276360532834229</v>
      </c>
      <c r="AZ42" s="203">
        <f t="shared" ref="AZ42" si="91">AB42/D42</f>
        <v>0.38377792628312762</v>
      </c>
      <c r="BA42" s="203">
        <f t="shared" ref="BA42" si="92">AC42/E42</f>
        <v>0.28567814614971232</v>
      </c>
      <c r="BB42" s="203">
        <f t="shared" ref="BB42" si="93">AD42/F42</f>
        <v>0.58281198993375771</v>
      </c>
      <c r="BC42" s="203">
        <f t="shared" ref="BC42" si="94">AE42/G42</f>
        <v>0.61073915439466864</v>
      </c>
      <c r="BD42" s="203">
        <f t="shared" ref="BD42" si="95">AF42/H42</f>
        <v>0.61073915439466864</v>
      </c>
      <c r="BE42" s="203"/>
      <c r="BF42" s="203">
        <f t="shared" ref="BF42" si="96">AH42/J42</f>
        <v>0.38357461220285261</v>
      </c>
      <c r="BG42" s="203">
        <f t="shared" ref="BG42" si="97">AI42/K42</f>
        <v>0.38357461220285261</v>
      </c>
      <c r="BH42" s="203"/>
      <c r="BI42" s="203">
        <f t="shared" ref="BI42" si="98">AK42/M42</f>
        <v>0.293556702778839</v>
      </c>
      <c r="BJ42" s="203">
        <f t="shared" ref="BJ42" si="99">AL42/N42</f>
        <v>0.29711153497819592</v>
      </c>
      <c r="BK42" s="203">
        <f t="shared" ref="BK42" si="100">AM42/O42</f>
        <v>0.29711153497819592</v>
      </c>
      <c r="BL42" s="203"/>
      <c r="BM42" s="203">
        <f t="shared" ref="BM42" si="101">AO42/Q42</f>
        <v>0.27916232257175561</v>
      </c>
      <c r="BN42" s="203">
        <f t="shared" ref="BN42" si="102">AP42/R42</f>
        <v>0.27916232257175561</v>
      </c>
      <c r="BO42" s="203"/>
      <c r="BP42" s="203">
        <f t="shared" ref="BP42" si="103">AR42/T42</f>
        <v>0.31709094856380832</v>
      </c>
      <c r="BQ42" s="203">
        <f t="shared" ref="BQ42" si="104">AS42/U42</f>
        <v>0.33369038633270676</v>
      </c>
      <c r="BR42" s="203">
        <f t="shared" ref="BR42" si="105">AT42/V42</f>
        <v>0.33369038633270676</v>
      </c>
      <c r="BS42" s="203"/>
      <c r="BT42" s="203">
        <f t="shared" ref="BT42" si="106">AV42/X42</f>
        <v>0.27014353410312847</v>
      </c>
      <c r="BU42" s="203">
        <f t="shared" ref="BU42" si="107">AW42/Y42</f>
        <v>0.27014353410312847</v>
      </c>
      <c r="BV42" s="203"/>
    </row>
    <row r="43" spans="1:76">
      <c r="A43" s="190">
        <v>1</v>
      </c>
      <c r="B43" s="191" t="s">
        <v>481</v>
      </c>
      <c r="C43" s="199">
        <f t="shared" si="50"/>
        <v>28365</v>
      </c>
      <c r="D43" s="200">
        <f t="shared" ref="D43:D52" si="108">G43+N43+U43</f>
        <v>18768</v>
      </c>
      <c r="E43" s="200">
        <f t="shared" ref="E43:E52" si="109">J43+Q43+X43</f>
        <v>9597</v>
      </c>
      <c r="F43" s="200">
        <f t="shared" ref="F43:F52" si="110">G43+J43</f>
        <v>15423</v>
      </c>
      <c r="G43" s="200">
        <f t="shared" ref="G43:G52" si="111">H43+I43</f>
        <v>13523</v>
      </c>
      <c r="H43" s="200">
        <v>13523</v>
      </c>
      <c r="I43" s="200"/>
      <c r="J43" s="200">
        <f t="shared" ref="J43:J52" si="112">K43+L43</f>
        <v>1900</v>
      </c>
      <c r="K43" s="200">
        <v>1900</v>
      </c>
      <c r="L43" s="200"/>
      <c r="M43" s="200">
        <f t="shared" ref="M43:M52" si="113">N43+Q43</f>
        <v>3324</v>
      </c>
      <c r="N43" s="200">
        <f t="shared" ref="N43:N52" si="114">O43+P43</f>
        <v>0</v>
      </c>
      <c r="O43" s="200">
        <v>0</v>
      </c>
      <c r="P43" s="200"/>
      <c r="Q43" s="200">
        <f t="shared" ref="Q43:Q52" si="115">R43+S43</f>
        <v>3324</v>
      </c>
      <c r="R43" s="200">
        <v>3324</v>
      </c>
      <c r="S43" s="200"/>
      <c r="T43" s="200">
        <f t="shared" ref="T43:T52" si="116">U43+X43</f>
        <v>9618</v>
      </c>
      <c r="U43" s="200">
        <f t="shared" ref="U43:U52" si="117">V43+W43</f>
        <v>5245</v>
      </c>
      <c r="V43" s="200">
        <v>5245</v>
      </c>
      <c r="W43" s="200"/>
      <c r="X43" s="200">
        <f t="shared" ref="X43:X52" si="118">Y43+Z43</f>
        <v>4373</v>
      </c>
      <c r="Y43" s="200">
        <v>4373</v>
      </c>
      <c r="Z43" s="200"/>
      <c r="AA43" s="199">
        <f t="shared" ref="AA43:AA52" si="119">AB43+AC43</f>
        <v>16779.143854999998</v>
      </c>
      <c r="AB43" s="200">
        <f t="shared" ref="AB43:AB52" si="120">AE43+AL43+AS43</f>
        <v>15303.146761</v>
      </c>
      <c r="AC43" s="200">
        <f t="shared" ref="AC43:AC52" si="121">AH43+AO43+AV43</f>
        <v>1475.9970939999998</v>
      </c>
      <c r="AD43" s="200">
        <f t="shared" ref="AD43:AD52" si="122">AE43+AH43</f>
        <v>11662.183115</v>
      </c>
      <c r="AE43" s="200">
        <f t="shared" ref="AE43:AE52" si="123">AF43+AG43</f>
        <v>11269.782175</v>
      </c>
      <c r="AF43" s="200">
        <v>11269.782175</v>
      </c>
      <c r="AG43" s="200"/>
      <c r="AH43" s="200">
        <f t="shared" ref="AH43:AH52" si="124">AI43+AJ43</f>
        <v>392.40093999999999</v>
      </c>
      <c r="AI43" s="200">
        <v>392.40093999999999</v>
      </c>
      <c r="AJ43" s="200"/>
      <c r="AK43" s="200">
        <f t="shared" ref="AK43:AK52" si="125">AL43+AO43</f>
        <v>295.00419399999998</v>
      </c>
      <c r="AL43" s="200">
        <f t="shared" ref="AL43:AL52" si="126">AM43+AN43</f>
        <v>0</v>
      </c>
      <c r="AM43" s="200"/>
      <c r="AN43" s="200"/>
      <c r="AO43" s="200">
        <f t="shared" ref="AO43:AO52" si="127">AP43+AQ43</f>
        <v>295.00419399999998</v>
      </c>
      <c r="AP43" s="200">
        <v>295.00419399999998</v>
      </c>
      <c r="AQ43" s="200"/>
      <c r="AR43" s="200">
        <f t="shared" ref="AR43:AR52" si="128">AS43+AV43</f>
        <v>4821.9565459999994</v>
      </c>
      <c r="AS43" s="200">
        <f t="shared" ref="AS43:AS52" si="129">AT43+AU43</f>
        <v>4033.3645859999997</v>
      </c>
      <c r="AT43" s="200">
        <v>4033.3645859999997</v>
      </c>
      <c r="AU43" s="200"/>
      <c r="AV43" s="200">
        <f t="shared" ref="AV43:AV52" si="130">AW43+AX43</f>
        <v>788.59195999999997</v>
      </c>
      <c r="AW43" s="200">
        <v>788.59195999999997</v>
      </c>
      <c r="AX43" s="200"/>
      <c r="AY43" s="201">
        <f t="shared" si="90"/>
        <v>0.5915439398907103</v>
      </c>
      <c r="AZ43" s="201">
        <f t="shared" ref="AZ43:AZ52" si="131">AB43/D43</f>
        <v>0.81538505759803925</v>
      </c>
      <c r="BA43" s="201">
        <f t="shared" ref="BA43:BA52" si="132">AC43/E43</f>
        <v>0.15379775909138271</v>
      </c>
      <c r="BB43" s="201">
        <f t="shared" ref="BB43:BB52" si="133">AD43/F43</f>
        <v>0.75615529501394019</v>
      </c>
      <c r="BC43" s="201">
        <f t="shared" ref="BC43:BC52" si="134">AE43/G43</f>
        <v>0.83337884899800341</v>
      </c>
      <c r="BD43" s="201">
        <f t="shared" ref="BD43:BD52" si="135">AF43/H43</f>
        <v>0.83337884899800341</v>
      </c>
      <c r="BE43" s="201"/>
      <c r="BF43" s="201">
        <f t="shared" ref="BF43:BF52" si="136">AH43/J43</f>
        <v>0.20652681052631577</v>
      </c>
      <c r="BG43" s="201">
        <f t="shared" ref="BG43:BG52" si="137">AI43/K43</f>
        <v>0.20652681052631577</v>
      </c>
      <c r="BH43" s="201"/>
      <c r="BI43" s="201">
        <f t="shared" ref="BI43:BI52" si="138">AK43/M43</f>
        <v>8.8749757521058958E-2</v>
      </c>
      <c r="BJ43" s="201"/>
      <c r="BK43" s="201"/>
      <c r="BL43" s="201"/>
      <c r="BM43" s="201">
        <f t="shared" ref="BM43:BM52" si="139">AO43/Q43</f>
        <v>8.8749757521058958E-2</v>
      </c>
      <c r="BN43" s="201">
        <f t="shared" ref="BN43:BN52" si="140">AP43/R43</f>
        <v>8.8749757521058958E-2</v>
      </c>
      <c r="BO43" s="201"/>
      <c r="BP43" s="201">
        <f t="shared" ref="BP43:BP52" si="141">AR43/T43</f>
        <v>0.50134711436889157</v>
      </c>
      <c r="BQ43" s="201">
        <f t="shared" ref="BQ43:BQ52" si="142">AS43/U43</f>
        <v>0.76899229475691133</v>
      </c>
      <c r="BR43" s="201">
        <f t="shared" ref="BR43:BR52" si="143">AT43/V43</f>
        <v>0.76899229475691133</v>
      </c>
      <c r="BS43" s="201"/>
      <c r="BT43" s="201">
        <f t="shared" ref="BT43:BT52" si="144">AV43/X43</f>
        <v>0.1803320283558198</v>
      </c>
      <c r="BU43" s="201">
        <f t="shared" ref="BU43:BU52" si="145">AW43/Y43</f>
        <v>0.1803320283558198</v>
      </c>
      <c r="BV43" s="201"/>
      <c r="BX43" s="48"/>
    </row>
    <row r="44" spans="1:76">
      <c r="A44" s="190">
        <v>2</v>
      </c>
      <c r="B44" s="191" t="s">
        <v>295</v>
      </c>
      <c r="C44" s="199">
        <f t="shared" si="50"/>
        <v>58807</v>
      </c>
      <c r="D44" s="200">
        <f t="shared" si="108"/>
        <v>42300</v>
      </c>
      <c r="E44" s="200">
        <f t="shared" si="109"/>
        <v>16507</v>
      </c>
      <c r="F44" s="200">
        <f t="shared" si="110"/>
        <v>15203</v>
      </c>
      <c r="G44" s="200">
        <f t="shared" si="111"/>
        <v>13123</v>
      </c>
      <c r="H44" s="200">
        <v>13123</v>
      </c>
      <c r="I44" s="200"/>
      <c r="J44" s="200">
        <f t="shared" si="112"/>
        <v>2080</v>
      </c>
      <c r="K44" s="200">
        <v>2080</v>
      </c>
      <c r="L44" s="200"/>
      <c r="M44" s="200">
        <f t="shared" si="113"/>
        <v>4391</v>
      </c>
      <c r="N44" s="200">
        <f t="shared" si="114"/>
        <v>0</v>
      </c>
      <c r="O44" s="200">
        <v>0</v>
      </c>
      <c r="P44" s="200"/>
      <c r="Q44" s="200">
        <f t="shared" si="115"/>
        <v>4391</v>
      </c>
      <c r="R44" s="200">
        <v>4391</v>
      </c>
      <c r="S44" s="200"/>
      <c r="T44" s="200">
        <f t="shared" si="116"/>
        <v>39213</v>
      </c>
      <c r="U44" s="200">
        <f t="shared" si="117"/>
        <v>29177</v>
      </c>
      <c r="V44" s="200">
        <v>29177</v>
      </c>
      <c r="W44" s="200"/>
      <c r="X44" s="200">
        <f t="shared" si="118"/>
        <v>10036</v>
      </c>
      <c r="Y44" s="200">
        <v>10036</v>
      </c>
      <c r="Z44" s="200"/>
      <c r="AA44" s="199">
        <f t="shared" si="119"/>
        <v>28290.677339000002</v>
      </c>
      <c r="AB44" s="200">
        <f t="shared" si="120"/>
        <v>21830.124605000001</v>
      </c>
      <c r="AC44" s="200">
        <f t="shared" si="121"/>
        <v>6460.552733999999</v>
      </c>
      <c r="AD44" s="200">
        <f t="shared" si="122"/>
        <v>13237.209124000001</v>
      </c>
      <c r="AE44" s="200">
        <f t="shared" si="123"/>
        <v>12789.667829</v>
      </c>
      <c r="AF44" s="200">
        <v>12789.667829</v>
      </c>
      <c r="AG44" s="200"/>
      <c r="AH44" s="200">
        <f t="shared" si="124"/>
        <v>447.54129499999999</v>
      </c>
      <c r="AI44" s="200">
        <v>447.54129499999999</v>
      </c>
      <c r="AJ44" s="200"/>
      <c r="AK44" s="200">
        <f t="shared" si="125"/>
        <v>1011.9610849999999</v>
      </c>
      <c r="AL44" s="200">
        <f t="shared" si="126"/>
        <v>0</v>
      </c>
      <c r="AM44" s="200"/>
      <c r="AN44" s="200"/>
      <c r="AO44" s="200">
        <f t="shared" si="127"/>
        <v>1011.9610849999999</v>
      </c>
      <c r="AP44" s="200">
        <v>1011.9610849999999</v>
      </c>
      <c r="AQ44" s="200"/>
      <c r="AR44" s="200">
        <f t="shared" si="128"/>
        <v>14041.50713</v>
      </c>
      <c r="AS44" s="200">
        <f t="shared" si="129"/>
        <v>9040.4567760000009</v>
      </c>
      <c r="AT44" s="200">
        <v>9040.4567760000009</v>
      </c>
      <c r="AU44" s="200"/>
      <c r="AV44" s="200">
        <f t="shared" si="130"/>
        <v>5001.0503539999991</v>
      </c>
      <c r="AW44" s="200">
        <v>5001.0503539999991</v>
      </c>
      <c r="AX44" s="200"/>
      <c r="AY44" s="201">
        <f t="shared" si="90"/>
        <v>0.48107669731494551</v>
      </c>
      <c r="AZ44" s="201">
        <f t="shared" si="131"/>
        <v>0.51607859586288418</v>
      </c>
      <c r="BA44" s="201">
        <f t="shared" si="132"/>
        <v>0.39138260943842001</v>
      </c>
      <c r="BB44" s="201">
        <f t="shared" si="133"/>
        <v>0.87069717318950213</v>
      </c>
      <c r="BC44" s="201">
        <f t="shared" si="134"/>
        <v>0.97459939259315709</v>
      </c>
      <c r="BD44" s="201">
        <f t="shared" si="135"/>
        <v>0.97459939259315709</v>
      </c>
      <c r="BE44" s="201"/>
      <c r="BF44" s="201">
        <f t="shared" si="136"/>
        <v>0.21516408413461538</v>
      </c>
      <c r="BG44" s="201">
        <f t="shared" si="137"/>
        <v>0.21516408413461538</v>
      </c>
      <c r="BH44" s="201"/>
      <c r="BI44" s="201">
        <f t="shared" si="138"/>
        <v>0.23046255636529261</v>
      </c>
      <c r="BJ44" s="201"/>
      <c r="BK44" s="201"/>
      <c r="BL44" s="201"/>
      <c r="BM44" s="201">
        <f t="shared" si="139"/>
        <v>0.23046255636529261</v>
      </c>
      <c r="BN44" s="201">
        <f t="shared" si="140"/>
        <v>0.23046255636529261</v>
      </c>
      <c r="BO44" s="201"/>
      <c r="BP44" s="201">
        <f t="shared" si="141"/>
        <v>0.35808296049779409</v>
      </c>
      <c r="BQ44" s="201">
        <f t="shared" si="142"/>
        <v>0.30984874305103338</v>
      </c>
      <c r="BR44" s="201">
        <f t="shared" si="143"/>
        <v>0.30984874305103338</v>
      </c>
      <c r="BS44" s="201"/>
      <c r="BT44" s="201">
        <f t="shared" si="144"/>
        <v>0.49831111538461531</v>
      </c>
      <c r="BU44" s="201">
        <f t="shared" si="145"/>
        <v>0.49831111538461531</v>
      </c>
      <c r="BV44" s="201"/>
      <c r="BX44" s="48"/>
    </row>
    <row r="45" spans="1:76">
      <c r="A45" s="190">
        <v>3</v>
      </c>
      <c r="B45" s="191" t="s">
        <v>296</v>
      </c>
      <c r="C45" s="199">
        <f t="shared" si="50"/>
        <v>50539</v>
      </c>
      <c r="D45" s="200">
        <f t="shared" si="108"/>
        <v>36244</v>
      </c>
      <c r="E45" s="200">
        <f t="shared" si="109"/>
        <v>14295</v>
      </c>
      <c r="F45" s="200">
        <f t="shared" si="110"/>
        <v>13105</v>
      </c>
      <c r="G45" s="200">
        <f t="shared" si="111"/>
        <v>11165</v>
      </c>
      <c r="H45" s="200">
        <v>11165</v>
      </c>
      <c r="I45" s="200"/>
      <c r="J45" s="200">
        <f t="shared" si="112"/>
        <v>1940</v>
      </c>
      <c r="K45" s="200">
        <v>1940</v>
      </c>
      <c r="L45" s="200"/>
      <c r="M45" s="200">
        <f t="shared" si="113"/>
        <v>3424</v>
      </c>
      <c r="N45" s="200">
        <f t="shared" si="114"/>
        <v>0</v>
      </c>
      <c r="O45" s="200">
        <v>0</v>
      </c>
      <c r="P45" s="200"/>
      <c r="Q45" s="200">
        <f t="shared" si="115"/>
        <v>3424</v>
      </c>
      <c r="R45" s="200">
        <v>3424</v>
      </c>
      <c r="S45" s="200"/>
      <c r="T45" s="200">
        <f t="shared" si="116"/>
        <v>34010</v>
      </c>
      <c r="U45" s="200">
        <f t="shared" si="117"/>
        <v>25079</v>
      </c>
      <c r="V45" s="200">
        <v>25079</v>
      </c>
      <c r="W45" s="200"/>
      <c r="X45" s="200">
        <f t="shared" si="118"/>
        <v>8931</v>
      </c>
      <c r="Y45" s="200">
        <v>8931</v>
      </c>
      <c r="Z45" s="200"/>
      <c r="AA45" s="199">
        <f t="shared" si="119"/>
        <v>30727.651472000001</v>
      </c>
      <c r="AB45" s="200">
        <f t="shared" si="120"/>
        <v>25637.61</v>
      </c>
      <c r="AC45" s="200">
        <f t="shared" si="121"/>
        <v>5090.0414720000008</v>
      </c>
      <c r="AD45" s="200">
        <f t="shared" si="122"/>
        <v>10667.887360000001</v>
      </c>
      <c r="AE45" s="200">
        <f t="shared" si="123"/>
        <v>10128.66</v>
      </c>
      <c r="AF45" s="200">
        <v>10128.66</v>
      </c>
      <c r="AG45" s="200"/>
      <c r="AH45" s="200">
        <f t="shared" si="124"/>
        <v>539.22735999999998</v>
      </c>
      <c r="AI45" s="200">
        <v>539.22735999999998</v>
      </c>
      <c r="AJ45" s="200"/>
      <c r="AK45" s="200">
        <f t="shared" si="125"/>
        <v>204.12962500000003</v>
      </c>
      <c r="AL45" s="200">
        <f t="shared" si="126"/>
        <v>0</v>
      </c>
      <c r="AM45" s="200"/>
      <c r="AN45" s="200"/>
      <c r="AO45" s="200">
        <f t="shared" si="127"/>
        <v>204.12962500000003</v>
      </c>
      <c r="AP45" s="200">
        <v>204.12962500000003</v>
      </c>
      <c r="AQ45" s="200"/>
      <c r="AR45" s="200">
        <f t="shared" si="128"/>
        <v>19855.634487000003</v>
      </c>
      <c r="AS45" s="200">
        <f t="shared" si="129"/>
        <v>15508.95</v>
      </c>
      <c r="AT45" s="200">
        <v>15508.95</v>
      </c>
      <c r="AU45" s="200"/>
      <c r="AV45" s="200">
        <f t="shared" si="130"/>
        <v>4346.6844870000004</v>
      </c>
      <c r="AW45" s="200">
        <v>4346.6844870000004</v>
      </c>
      <c r="AX45" s="200"/>
      <c r="AY45" s="201">
        <f t="shared" si="90"/>
        <v>0.60799880235065995</v>
      </c>
      <c r="AZ45" s="201">
        <f t="shared" si="131"/>
        <v>0.70736149431630069</v>
      </c>
      <c r="BA45" s="201">
        <f t="shared" si="132"/>
        <v>0.35607145659321449</v>
      </c>
      <c r="BB45" s="201">
        <f t="shared" si="133"/>
        <v>0.8140318473864937</v>
      </c>
      <c r="BC45" s="201">
        <f t="shared" si="134"/>
        <v>0.90717957904164803</v>
      </c>
      <c r="BD45" s="201">
        <f t="shared" si="135"/>
        <v>0.90717957904164803</v>
      </c>
      <c r="BE45" s="201"/>
      <c r="BF45" s="201">
        <f t="shared" si="136"/>
        <v>0.27795224742268038</v>
      </c>
      <c r="BG45" s="201">
        <f t="shared" si="137"/>
        <v>0.27795224742268038</v>
      </c>
      <c r="BH45" s="201"/>
      <c r="BI45" s="201">
        <f t="shared" si="138"/>
        <v>5.9617297021028047E-2</v>
      </c>
      <c r="BJ45" s="201"/>
      <c r="BK45" s="201"/>
      <c r="BL45" s="201"/>
      <c r="BM45" s="201">
        <f t="shared" si="139"/>
        <v>5.9617297021028047E-2</v>
      </c>
      <c r="BN45" s="201">
        <f t="shared" si="140"/>
        <v>5.9617297021028047E-2</v>
      </c>
      <c r="BO45" s="201"/>
      <c r="BP45" s="201">
        <f t="shared" si="141"/>
        <v>0.58381753857688923</v>
      </c>
      <c r="BQ45" s="201">
        <f t="shared" si="142"/>
        <v>0.61840384385342317</v>
      </c>
      <c r="BR45" s="201">
        <f t="shared" si="143"/>
        <v>0.61840384385342317</v>
      </c>
      <c r="BS45" s="201"/>
      <c r="BT45" s="201">
        <f t="shared" si="144"/>
        <v>0.48669628115552577</v>
      </c>
      <c r="BU45" s="201">
        <f t="shared" si="145"/>
        <v>0.48669628115552577</v>
      </c>
      <c r="BV45" s="201"/>
      <c r="BX45" s="48"/>
    </row>
    <row r="46" spans="1:76">
      <c r="A46" s="190">
        <v>4</v>
      </c>
      <c r="B46" s="191" t="s">
        <v>297</v>
      </c>
      <c r="C46" s="199">
        <f t="shared" si="50"/>
        <v>41147</v>
      </c>
      <c r="D46" s="200">
        <f t="shared" si="108"/>
        <v>29692</v>
      </c>
      <c r="E46" s="200">
        <f t="shared" si="109"/>
        <v>11455</v>
      </c>
      <c r="F46" s="200">
        <f t="shared" si="110"/>
        <v>18901</v>
      </c>
      <c r="G46" s="200">
        <f t="shared" si="111"/>
        <v>17031</v>
      </c>
      <c r="H46" s="200">
        <v>17031</v>
      </c>
      <c r="I46" s="200"/>
      <c r="J46" s="200">
        <f t="shared" si="112"/>
        <v>1870</v>
      </c>
      <c r="K46" s="200">
        <v>1870</v>
      </c>
      <c r="L46" s="200"/>
      <c r="M46" s="200">
        <f t="shared" si="113"/>
        <v>2641</v>
      </c>
      <c r="N46" s="200">
        <f t="shared" si="114"/>
        <v>0</v>
      </c>
      <c r="O46" s="200">
        <v>0</v>
      </c>
      <c r="P46" s="200"/>
      <c r="Q46" s="200">
        <f t="shared" si="115"/>
        <v>2641</v>
      </c>
      <c r="R46" s="200">
        <v>2641</v>
      </c>
      <c r="S46" s="200"/>
      <c r="T46" s="200">
        <f t="shared" si="116"/>
        <v>19605</v>
      </c>
      <c r="U46" s="200">
        <f t="shared" si="117"/>
        <v>12661</v>
      </c>
      <c r="V46" s="200">
        <v>12661</v>
      </c>
      <c r="W46" s="200"/>
      <c r="X46" s="200">
        <f t="shared" si="118"/>
        <v>6944</v>
      </c>
      <c r="Y46" s="200">
        <v>6944</v>
      </c>
      <c r="Z46" s="200"/>
      <c r="AA46" s="199">
        <f t="shared" si="119"/>
        <v>17769.466240000002</v>
      </c>
      <c r="AB46" s="200">
        <f t="shared" si="120"/>
        <v>15090.986220000001</v>
      </c>
      <c r="AC46" s="200">
        <f t="shared" si="121"/>
        <v>2678.4800200000004</v>
      </c>
      <c r="AD46" s="200">
        <f t="shared" si="122"/>
        <v>12139.338842000001</v>
      </c>
      <c r="AE46" s="200">
        <f t="shared" si="123"/>
        <v>11744.468220000001</v>
      </c>
      <c r="AF46" s="200">
        <v>11744.468220000001</v>
      </c>
      <c r="AG46" s="200"/>
      <c r="AH46" s="200">
        <f t="shared" si="124"/>
        <v>394.87062200000003</v>
      </c>
      <c r="AI46" s="200">
        <v>394.87062200000003</v>
      </c>
      <c r="AJ46" s="200"/>
      <c r="AK46" s="200">
        <f t="shared" si="125"/>
        <v>1566.1944500000002</v>
      </c>
      <c r="AL46" s="200">
        <f t="shared" si="126"/>
        <v>0</v>
      </c>
      <c r="AM46" s="200"/>
      <c r="AN46" s="200"/>
      <c r="AO46" s="200">
        <f t="shared" si="127"/>
        <v>1566.1944500000002</v>
      </c>
      <c r="AP46" s="200">
        <v>1566.1944500000002</v>
      </c>
      <c r="AQ46" s="200"/>
      <c r="AR46" s="200">
        <f t="shared" si="128"/>
        <v>4063.9329480000001</v>
      </c>
      <c r="AS46" s="200">
        <f t="shared" si="129"/>
        <v>3346.518</v>
      </c>
      <c r="AT46" s="200">
        <v>3346.518</v>
      </c>
      <c r="AU46" s="200"/>
      <c r="AV46" s="200">
        <f t="shared" si="130"/>
        <v>717.41494799999998</v>
      </c>
      <c r="AW46" s="200">
        <v>717.41494799999998</v>
      </c>
      <c r="AX46" s="200"/>
      <c r="AY46" s="201">
        <f t="shared" si="90"/>
        <v>0.43185326366442273</v>
      </c>
      <c r="AZ46" s="201">
        <f t="shared" si="131"/>
        <v>0.50825091674525125</v>
      </c>
      <c r="BA46" s="201">
        <f t="shared" si="132"/>
        <v>0.2338262784810127</v>
      </c>
      <c r="BB46" s="201">
        <f t="shared" si="133"/>
        <v>0.64225907846145713</v>
      </c>
      <c r="BC46" s="201">
        <f t="shared" si="134"/>
        <v>0.68959357759379958</v>
      </c>
      <c r="BD46" s="201">
        <f t="shared" si="135"/>
        <v>0.68959357759379958</v>
      </c>
      <c r="BE46" s="201"/>
      <c r="BF46" s="201">
        <f t="shared" si="136"/>
        <v>0.21116076042780749</v>
      </c>
      <c r="BG46" s="201">
        <f t="shared" si="137"/>
        <v>0.21116076042780749</v>
      </c>
      <c r="BH46" s="201"/>
      <c r="BI46" s="201">
        <f t="shared" si="138"/>
        <v>0.59303084059068545</v>
      </c>
      <c r="BJ46" s="201"/>
      <c r="BK46" s="201"/>
      <c r="BL46" s="201"/>
      <c r="BM46" s="201">
        <f t="shared" si="139"/>
        <v>0.59303084059068545</v>
      </c>
      <c r="BN46" s="201">
        <f t="shared" si="140"/>
        <v>0.59303084059068545</v>
      </c>
      <c r="BO46" s="201"/>
      <c r="BP46" s="201">
        <f t="shared" si="141"/>
        <v>0.20729063749043611</v>
      </c>
      <c r="BQ46" s="201">
        <f t="shared" si="142"/>
        <v>0.26431703656899141</v>
      </c>
      <c r="BR46" s="201">
        <f t="shared" si="143"/>
        <v>0.26431703656899141</v>
      </c>
      <c r="BS46" s="201"/>
      <c r="BT46" s="201">
        <f t="shared" si="144"/>
        <v>0.10331436463133641</v>
      </c>
      <c r="BU46" s="201">
        <f t="shared" si="145"/>
        <v>0.10331436463133641</v>
      </c>
      <c r="BV46" s="201"/>
    </row>
    <row r="47" spans="1:76">
      <c r="A47" s="190">
        <v>5</v>
      </c>
      <c r="B47" s="191" t="s">
        <v>302</v>
      </c>
      <c r="C47" s="199">
        <f t="shared" si="50"/>
        <v>163346</v>
      </c>
      <c r="D47" s="200">
        <f t="shared" si="108"/>
        <v>138921</v>
      </c>
      <c r="E47" s="200">
        <f t="shared" si="109"/>
        <v>24425</v>
      </c>
      <c r="F47" s="200">
        <f t="shared" si="110"/>
        <v>20770</v>
      </c>
      <c r="G47" s="200">
        <f t="shared" si="111"/>
        <v>18770</v>
      </c>
      <c r="H47" s="200">
        <v>18770</v>
      </c>
      <c r="I47" s="200"/>
      <c r="J47" s="200">
        <f t="shared" si="112"/>
        <v>2000</v>
      </c>
      <c r="K47" s="200">
        <v>2000</v>
      </c>
      <c r="L47" s="200"/>
      <c r="M47" s="200">
        <f t="shared" si="113"/>
        <v>74334</v>
      </c>
      <c r="N47" s="200">
        <f t="shared" si="114"/>
        <v>66409</v>
      </c>
      <c r="O47" s="200">
        <v>66409</v>
      </c>
      <c r="P47" s="200"/>
      <c r="Q47" s="200">
        <f t="shared" si="115"/>
        <v>7925</v>
      </c>
      <c r="R47" s="200">
        <v>7925</v>
      </c>
      <c r="S47" s="200"/>
      <c r="T47" s="200">
        <f t="shared" si="116"/>
        <v>68242</v>
      </c>
      <c r="U47" s="200">
        <f t="shared" si="117"/>
        <v>53742</v>
      </c>
      <c r="V47" s="200">
        <v>53742</v>
      </c>
      <c r="W47" s="200"/>
      <c r="X47" s="200">
        <f t="shared" si="118"/>
        <v>14500</v>
      </c>
      <c r="Y47" s="200">
        <v>14500</v>
      </c>
      <c r="Z47" s="200"/>
      <c r="AA47" s="199">
        <f t="shared" si="119"/>
        <v>78973.558492000011</v>
      </c>
      <c r="AB47" s="200">
        <f t="shared" si="120"/>
        <v>66926.821262000012</v>
      </c>
      <c r="AC47" s="200">
        <f t="shared" si="121"/>
        <v>12046.737230000001</v>
      </c>
      <c r="AD47" s="200">
        <f t="shared" si="122"/>
        <v>11636.8145</v>
      </c>
      <c r="AE47" s="200">
        <f t="shared" si="123"/>
        <v>10049.431500000001</v>
      </c>
      <c r="AF47" s="200">
        <v>10049.431500000001</v>
      </c>
      <c r="AG47" s="200"/>
      <c r="AH47" s="200">
        <f t="shared" si="124"/>
        <v>1587.383</v>
      </c>
      <c r="AI47" s="200">
        <v>1587.383</v>
      </c>
      <c r="AJ47" s="200"/>
      <c r="AK47" s="200">
        <f t="shared" si="125"/>
        <v>41496.619500000001</v>
      </c>
      <c r="AL47" s="200">
        <f t="shared" si="126"/>
        <v>38043.737500000003</v>
      </c>
      <c r="AM47" s="200">
        <v>38043.737500000003</v>
      </c>
      <c r="AN47" s="200"/>
      <c r="AO47" s="200">
        <f t="shared" si="127"/>
        <v>3452.8820000000001</v>
      </c>
      <c r="AP47" s="200">
        <v>3452.8820000000001</v>
      </c>
      <c r="AQ47" s="200"/>
      <c r="AR47" s="200">
        <f t="shared" si="128"/>
        <v>25840.124492000003</v>
      </c>
      <c r="AS47" s="200">
        <f t="shared" si="129"/>
        <v>18833.652262000003</v>
      </c>
      <c r="AT47" s="200">
        <v>18833.652262000003</v>
      </c>
      <c r="AU47" s="200"/>
      <c r="AV47" s="200">
        <f t="shared" si="130"/>
        <v>7006.4722300000003</v>
      </c>
      <c r="AW47" s="200">
        <v>7006.4722300000003</v>
      </c>
      <c r="AX47" s="200"/>
      <c r="AY47" s="201">
        <f t="shared" si="90"/>
        <v>0.48347408869516251</v>
      </c>
      <c r="AZ47" s="201">
        <f t="shared" si="131"/>
        <v>0.48176172977447623</v>
      </c>
      <c r="BA47" s="201">
        <f t="shared" si="132"/>
        <v>0.49321339733879227</v>
      </c>
      <c r="BB47" s="201">
        <f t="shared" si="133"/>
        <v>0.56027031776600866</v>
      </c>
      <c r="BC47" s="201">
        <f t="shared" si="134"/>
        <v>0.53539858817261587</v>
      </c>
      <c r="BD47" s="201">
        <f t="shared" si="135"/>
        <v>0.53539858817261587</v>
      </c>
      <c r="BE47" s="201"/>
      <c r="BF47" s="201">
        <f t="shared" si="136"/>
        <v>0.79369149999999999</v>
      </c>
      <c r="BG47" s="201">
        <f t="shared" si="137"/>
        <v>0.79369149999999999</v>
      </c>
      <c r="BH47" s="201"/>
      <c r="BI47" s="201">
        <f t="shared" si="138"/>
        <v>0.55824547986116713</v>
      </c>
      <c r="BJ47" s="201">
        <f t="shared" ref="BJ47:BJ52" si="146">AL47/N47</f>
        <v>0.57287020584559323</v>
      </c>
      <c r="BK47" s="201">
        <f t="shared" ref="BK47:BK52" si="147">AM47/O47</f>
        <v>0.57287020584559323</v>
      </c>
      <c r="BL47" s="201"/>
      <c r="BM47" s="201">
        <f t="shared" si="139"/>
        <v>0.43569488958990538</v>
      </c>
      <c r="BN47" s="201">
        <f t="shared" si="140"/>
        <v>0.43569488958990538</v>
      </c>
      <c r="BO47" s="201"/>
      <c r="BP47" s="201">
        <f t="shared" si="141"/>
        <v>0.37865426704961758</v>
      </c>
      <c r="BQ47" s="201">
        <f t="shared" si="142"/>
        <v>0.35044568981429802</v>
      </c>
      <c r="BR47" s="201">
        <f t="shared" si="143"/>
        <v>0.35044568981429802</v>
      </c>
      <c r="BS47" s="201"/>
      <c r="BT47" s="201">
        <f t="shared" si="144"/>
        <v>0.48320498137931034</v>
      </c>
      <c r="BU47" s="201">
        <f t="shared" si="145"/>
        <v>0.48320498137931034</v>
      </c>
      <c r="BV47" s="201"/>
    </row>
    <row r="48" spans="1:76">
      <c r="A48" s="190">
        <v>6</v>
      </c>
      <c r="B48" s="191" t="s">
        <v>298</v>
      </c>
      <c r="C48" s="199">
        <f t="shared" si="50"/>
        <v>86265</v>
      </c>
      <c r="D48" s="200">
        <f t="shared" si="108"/>
        <v>64944</v>
      </c>
      <c r="E48" s="200">
        <f t="shared" si="109"/>
        <v>21321</v>
      </c>
      <c r="F48" s="200">
        <f t="shared" si="110"/>
        <v>18354</v>
      </c>
      <c r="G48" s="200">
        <f t="shared" si="111"/>
        <v>16284</v>
      </c>
      <c r="H48" s="200">
        <v>16284</v>
      </c>
      <c r="I48" s="200"/>
      <c r="J48" s="200">
        <f t="shared" si="112"/>
        <v>2070</v>
      </c>
      <c r="K48" s="200">
        <v>2070</v>
      </c>
      <c r="L48" s="200"/>
      <c r="M48" s="200">
        <f t="shared" si="113"/>
        <v>4619</v>
      </c>
      <c r="N48" s="200">
        <f t="shared" si="114"/>
        <v>0</v>
      </c>
      <c r="O48" s="200">
        <v>0</v>
      </c>
      <c r="P48" s="200"/>
      <c r="Q48" s="200">
        <f t="shared" si="115"/>
        <v>4619</v>
      </c>
      <c r="R48" s="200">
        <v>4619</v>
      </c>
      <c r="S48" s="200"/>
      <c r="T48" s="200">
        <f t="shared" si="116"/>
        <v>63292</v>
      </c>
      <c r="U48" s="200">
        <f t="shared" si="117"/>
        <v>48660</v>
      </c>
      <c r="V48" s="200">
        <v>48660</v>
      </c>
      <c r="W48" s="200"/>
      <c r="X48" s="200">
        <f t="shared" si="118"/>
        <v>14632</v>
      </c>
      <c r="Y48" s="200">
        <v>14632</v>
      </c>
      <c r="Z48" s="200"/>
      <c r="AA48" s="199">
        <f t="shared" si="119"/>
        <v>23950.479649000001</v>
      </c>
      <c r="AB48" s="200">
        <f t="shared" si="120"/>
        <v>20007.132067999999</v>
      </c>
      <c r="AC48" s="200">
        <f t="shared" si="121"/>
        <v>3943.347581</v>
      </c>
      <c r="AD48" s="200">
        <f t="shared" si="122"/>
        <v>7097.166311</v>
      </c>
      <c r="AE48" s="200">
        <f t="shared" si="123"/>
        <v>6151.8021330000001</v>
      </c>
      <c r="AF48" s="200">
        <v>6151.8021330000001</v>
      </c>
      <c r="AG48" s="200"/>
      <c r="AH48" s="200">
        <f t="shared" si="124"/>
        <v>945.36417800000004</v>
      </c>
      <c r="AI48" s="200">
        <v>945.36417800000004</v>
      </c>
      <c r="AJ48" s="200"/>
      <c r="AK48" s="200">
        <f t="shared" si="125"/>
        <v>1028.9078490000002</v>
      </c>
      <c r="AL48" s="200">
        <f t="shared" si="126"/>
        <v>0</v>
      </c>
      <c r="AM48" s="200"/>
      <c r="AN48" s="200"/>
      <c r="AO48" s="200">
        <f t="shared" si="127"/>
        <v>1028.9078490000002</v>
      </c>
      <c r="AP48" s="200">
        <v>1028.9078490000002</v>
      </c>
      <c r="AQ48" s="200"/>
      <c r="AR48" s="200">
        <f t="shared" si="128"/>
        <v>15824.405489000001</v>
      </c>
      <c r="AS48" s="200">
        <f t="shared" si="129"/>
        <v>13855.329935</v>
      </c>
      <c r="AT48" s="200">
        <v>13855.329935</v>
      </c>
      <c r="AU48" s="200"/>
      <c r="AV48" s="200">
        <f t="shared" si="130"/>
        <v>1969.075554</v>
      </c>
      <c r="AW48" s="200">
        <v>1969.075554</v>
      </c>
      <c r="AX48" s="200"/>
      <c r="AY48" s="201">
        <f t="shared" si="90"/>
        <v>0.27763843562279023</v>
      </c>
      <c r="AZ48" s="201">
        <f t="shared" si="131"/>
        <v>0.30806744376693768</v>
      </c>
      <c r="BA48" s="201">
        <f t="shared" si="132"/>
        <v>0.18495134285446274</v>
      </c>
      <c r="BB48" s="201">
        <f t="shared" si="133"/>
        <v>0.38668226604554867</v>
      </c>
      <c r="BC48" s="201">
        <f t="shared" si="134"/>
        <v>0.37778200276344881</v>
      </c>
      <c r="BD48" s="201">
        <f t="shared" si="135"/>
        <v>0.37778200276344881</v>
      </c>
      <c r="BE48" s="201"/>
      <c r="BF48" s="201">
        <f t="shared" si="136"/>
        <v>0.45669767053140098</v>
      </c>
      <c r="BG48" s="201">
        <f t="shared" si="137"/>
        <v>0.45669767053140098</v>
      </c>
      <c r="BH48" s="201"/>
      <c r="BI48" s="201">
        <f t="shared" si="138"/>
        <v>0.22275554210868156</v>
      </c>
      <c r="BJ48" s="201"/>
      <c r="BK48" s="201"/>
      <c r="BL48" s="201"/>
      <c r="BM48" s="201">
        <f t="shared" si="139"/>
        <v>0.22275554210868156</v>
      </c>
      <c r="BN48" s="201">
        <f t="shared" si="140"/>
        <v>0.22275554210868156</v>
      </c>
      <c r="BO48" s="201"/>
      <c r="BP48" s="201">
        <f t="shared" si="141"/>
        <v>0.25002220642419265</v>
      </c>
      <c r="BQ48" s="201">
        <f t="shared" si="142"/>
        <v>0.28473756545417178</v>
      </c>
      <c r="BR48" s="201">
        <f t="shared" si="143"/>
        <v>0.28473756545417178</v>
      </c>
      <c r="BS48" s="201"/>
      <c r="BT48" s="201">
        <f t="shared" si="144"/>
        <v>0.13457323359759432</v>
      </c>
      <c r="BU48" s="201">
        <f t="shared" si="145"/>
        <v>0.13457323359759432</v>
      </c>
      <c r="BV48" s="201"/>
    </row>
    <row r="49" spans="1:77">
      <c r="A49" s="190">
        <v>7</v>
      </c>
      <c r="B49" s="191" t="s">
        <v>299</v>
      </c>
      <c r="C49" s="199">
        <f t="shared" si="50"/>
        <v>62683</v>
      </c>
      <c r="D49" s="200">
        <f t="shared" si="108"/>
        <v>41722</v>
      </c>
      <c r="E49" s="200">
        <f t="shared" si="109"/>
        <v>20961</v>
      </c>
      <c r="F49" s="200">
        <f t="shared" si="110"/>
        <v>15889</v>
      </c>
      <c r="G49" s="200">
        <f t="shared" si="111"/>
        <v>13749</v>
      </c>
      <c r="H49" s="200">
        <v>13749</v>
      </c>
      <c r="I49" s="200"/>
      <c r="J49" s="200">
        <f t="shared" si="112"/>
        <v>2140</v>
      </c>
      <c r="K49" s="200">
        <v>2140</v>
      </c>
      <c r="L49" s="200"/>
      <c r="M49" s="200">
        <f t="shared" si="113"/>
        <v>4949</v>
      </c>
      <c r="N49" s="200">
        <f t="shared" si="114"/>
        <v>0</v>
      </c>
      <c r="O49" s="200">
        <v>0</v>
      </c>
      <c r="P49" s="200"/>
      <c r="Q49" s="200">
        <f t="shared" si="115"/>
        <v>4949</v>
      </c>
      <c r="R49" s="200">
        <v>4949</v>
      </c>
      <c r="S49" s="200"/>
      <c r="T49" s="200">
        <f t="shared" si="116"/>
        <v>41845</v>
      </c>
      <c r="U49" s="200">
        <f t="shared" si="117"/>
        <v>27973</v>
      </c>
      <c r="V49" s="200">
        <v>27973</v>
      </c>
      <c r="W49" s="200"/>
      <c r="X49" s="200">
        <f t="shared" si="118"/>
        <v>13872</v>
      </c>
      <c r="Y49" s="200">
        <v>13872</v>
      </c>
      <c r="Z49" s="200"/>
      <c r="AA49" s="199">
        <f t="shared" si="119"/>
        <v>13927.871707</v>
      </c>
      <c r="AB49" s="200">
        <f t="shared" si="120"/>
        <v>10536.479261</v>
      </c>
      <c r="AC49" s="200">
        <f t="shared" si="121"/>
        <v>3391.3924459999998</v>
      </c>
      <c r="AD49" s="200">
        <f t="shared" si="122"/>
        <v>5404.3976280000006</v>
      </c>
      <c r="AE49" s="200">
        <f t="shared" si="123"/>
        <v>4148.8151280000002</v>
      </c>
      <c r="AF49" s="200">
        <v>4148.8151280000002</v>
      </c>
      <c r="AG49" s="200"/>
      <c r="AH49" s="200">
        <f t="shared" si="124"/>
        <v>1255.5825</v>
      </c>
      <c r="AI49" s="200">
        <v>1255.5825</v>
      </c>
      <c r="AJ49" s="200"/>
      <c r="AK49" s="200">
        <f t="shared" si="125"/>
        <v>596.59319999999991</v>
      </c>
      <c r="AL49" s="200">
        <f t="shared" si="126"/>
        <v>0</v>
      </c>
      <c r="AM49" s="200"/>
      <c r="AN49" s="200"/>
      <c r="AO49" s="200">
        <f t="shared" si="127"/>
        <v>596.59319999999991</v>
      </c>
      <c r="AP49" s="200">
        <v>596.59319999999991</v>
      </c>
      <c r="AQ49" s="200"/>
      <c r="AR49" s="200">
        <f t="shared" si="128"/>
        <v>7926.8808789999994</v>
      </c>
      <c r="AS49" s="200">
        <f t="shared" si="129"/>
        <v>6387.6641329999993</v>
      </c>
      <c r="AT49" s="200">
        <v>6387.6641329999993</v>
      </c>
      <c r="AU49" s="200"/>
      <c r="AV49" s="200">
        <f t="shared" si="130"/>
        <v>1539.2167460000001</v>
      </c>
      <c r="AW49" s="200">
        <v>1539.2167460000001</v>
      </c>
      <c r="AX49" s="200"/>
      <c r="AY49" s="201">
        <f t="shared" si="90"/>
        <v>0.2221953592999697</v>
      </c>
      <c r="AZ49" s="201">
        <f t="shared" si="131"/>
        <v>0.25254012897272421</v>
      </c>
      <c r="BA49" s="201">
        <f t="shared" si="132"/>
        <v>0.1617953554696818</v>
      </c>
      <c r="BB49" s="201">
        <f t="shared" si="133"/>
        <v>0.34013453508716729</v>
      </c>
      <c r="BC49" s="201">
        <f t="shared" si="134"/>
        <v>0.30175395505127645</v>
      </c>
      <c r="BD49" s="201">
        <f t="shared" si="135"/>
        <v>0.30175395505127645</v>
      </c>
      <c r="BE49" s="201"/>
      <c r="BF49" s="201">
        <f t="shared" si="136"/>
        <v>0.58672079439252334</v>
      </c>
      <c r="BG49" s="201">
        <f t="shared" si="137"/>
        <v>0.58672079439252334</v>
      </c>
      <c r="BH49" s="201"/>
      <c r="BI49" s="201">
        <f t="shared" si="138"/>
        <v>0.12054823196605373</v>
      </c>
      <c r="BJ49" s="201"/>
      <c r="BK49" s="201"/>
      <c r="BL49" s="201"/>
      <c r="BM49" s="201">
        <f t="shared" si="139"/>
        <v>0.12054823196605373</v>
      </c>
      <c r="BN49" s="201">
        <f t="shared" si="140"/>
        <v>0.12054823196605373</v>
      </c>
      <c r="BO49" s="201"/>
      <c r="BP49" s="201">
        <f t="shared" si="141"/>
        <v>0.18943436202652644</v>
      </c>
      <c r="BQ49" s="201">
        <f t="shared" si="142"/>
        <v>0.22835105755549992</v>
      </c>
      <c r="BR49" s="201">
        <f t="shared" si="143"/>
        <v>0.22835105755549992</v>
      </c>
      <c r="BS49" s="201"/>
      <c r="BT49" s="201">
        <f t="shared" si="144"/>
        <v>0.11095853128604383</v>
      </c>
      <c r="BU49" s="201">
        <f t="shared" si="145"/>
        <v>0.11095853128604383</v>
      </c>
      <c r="BV49" s="201"/>
    </row>
    <row r="50" spans="1:77">
      <c r="A50" s="190">
        <v>8</v>
      </c>
      <c r="B50" s="191" t="s">
        <v>276</v>
      </c>
      <c r="C50" s="199">
        <f t="shared" si="50"/>
        <v>50532</v>
      </c>
      <c r="D50" s="200">
        <f t="shared" si="108"/>
        <v>35650</v>
      </c>
      <c r="E50" s="200">
        <f t="shared" si="109"/>
        <v>14882</v>
      </c>
      <c r="F50" s="200">
        <f t="shared" si="110"/>
        <v>17700</v>
      </c>
      <c r="G50" s="200">
        <f t="shared" si="111"/>
        <v>15950</v>
      </c>
      <c r="H50" s="200">
        <v>15950</v>
      </c>
      <c r="I50" s="200"/>
      <c r="J50" s="200">
        <f t="shared" si="112"/>
        <v>1750</v>
      </c>
      <c r="K50" s="200">
        <v>1750</v>
      </c>
      <c r="L50" s="200"/>
      <c r="M50" s="200">
        <f t="shared" si="113"/>
        <v>3356</v>
      </c>
      <c r="N50" s="200">
        <f t="shared" si="114"/>
        <v>0</v>
      </c>
      <c r="O50" s="200">
        <v>0</v>
      </c>
      <c r="P50" s="200"/>
      <c r="Q50" s="200">
        <f t="shared" si="115"/>
        <v>3356</v>
      </c>
      <c r="R50" s="200">
        <v>3356</v>
      </c>
      <c r="S50" s="200"/>
      <c r="T50" s="200">
        <f t="shared" si="116"/>
        <v>29476</v>
      </c>
      <c r="U50" s="200">
        <f t="shared" si="117"/>
        <v>19700</v>
      </c>
      <c r="V50" s="200">
        <v>19700</v>
      </c>
      <c r="W50" s="200"/>
      <c r="X50" s="200">
        <f t="shared" si="118"/>
        <v>9776</v>
      </c>
      <c r="Y50" s="200">
        <v>9776</v>
      </c>
      <c r="Z50" s="200"/>
      <c r="AA50" s="199">
        <f t="shared" si="119"/>
        <v>29146.141151</v>
      </c>
      <c r="AB50" s="200">
        <f t="shared" si="120"/>
        <v>27026.669239999999</v>
      </c>
      <c r="AC50" s="200">
        <f t="shared" si="121"/>
        <v>2119.4719110000001</v>
      </c>
      <c r="AD50" s="200">
        <f t="shared" si="122"/>
        <v>14142.882131999999</v>
      </c>
      <c r="AE50" s="200">
        <f t="shared" si="123"/>
        <v>13579.266815999999</v>
      </c>
      <c r="AF50" s="200">
        <v>13579.266815999999</v>
      </c>
      <c r="AG50" s="200"/>
      <c r="AH50" s="200">
        <f t="shared" si="124"/>
        <v>563.61531600000001</v>
      </c>
      <c r="AI50" s="200">
        <v>563.61531600000001</v>
      </c>
      <c r="AJ50" s="200"/>
      <c r="AK50" s="200">
        <f t="shared" si="125"/>
        <v>779.76080000000013</v>
      </c>
      <c r="AL50" s="200">
        <f t="shared" si="126"/>
        <v>0</v>
      </c>
      <c r="AM50" s="200"/>
      <c r="AN50" s="200"/>
      <c r="AO50" s="200">
        <f t="shared" si="127"/>
        <v>779.76080000000013</v>
      </c>
      <c r="AP50" s="200">
        <v>779.76080000000013</v>
      </c>
      <c r="AQ50" s="200"/>
      <c r="AR50" s="200">
        <f t="shared" si="128"/>
        <v>14223.498218999999</v>
      </c>
      <c r="AS50" s="200">
        <f t="shared" si="129"/>
        <v>13447.402424</v>
      </c>
      <c r="AT50" s="200">
        <v>13447.402424</v>
      </c>
      <c r="AU50" s="200"/>
      <c r="AV50" s="200">
        <f t="shared" si="130"/>
        <v>776.09579499999995</v>
      </c>
      <c r="AW50" s="200">
        <v>776.09579499999995</v>
      </c>
      <c r="AX50" s="200"/>
      <c r="AY50" s="201">
        <f t="shared" si="90"/>
        <v>0.57678582187524741</v>
      </c>
      <c r="AZ50" s="201">
        <f t="shared" si="131"/>
        <v>0.75811133913043471</v>
      </c>
      <c r="BA50" s="201">
        <f t="shared" si="132"/>
        <v>0.1424184861577745</v>
      </c>
      <c r="BB50" s="201">
        <f t="shared" si="133"/>
        <v>0.79903288881355927</v>
      </c>
      <c r="BC50" s="201">
        <f t="shared" si="134"/>
        <v>0.85136469065830722</v>
      </c>
      <c r="BD50" s="201">
        <f t="shared" si="135"/>
        <v>0.85136469065830722</v>
      </c>
      <c r="BE50" s="201"/>
      <c r="BF50" s="201">
        <f t="shared" si="136"/>
        <v>0.32206589485714288</v>
      </c>
      <c r="BG50" s="201">
        <f t="shared" si="137"/>
        <v>0.32206589485714288</v>
      </c>
      <c r="BH50" s="201"/>
      <c r="BI50" s="201">
        <f t="shared" si="138"/>
        <v>0.23234827175208586</v>
      </c>
      <c r="BJ50" s="201"/>
      <c r="BK50" s="201"/>
      <c r="BL50" s="201"/>
      <c r="BM50" s="201">
        <f t="shared" si="139"/>
        <v>0.23234827175208586</v>
      </c>
      <c r="BN50" s="201">
        <f t="shared" si="140"/>
        <v>0.23234827175208586</v>
      </c>
      <c r="BO50" s="201"/>
      <c r="BP50" s="201">
        <f t="shared" si="141"/>
        <v>0.48254506103270456</v>
      </c>
      <c r="BQ50" s="201">
        <f t="shared" si="142"/>
        <v>0.68260926010152279</v>
      </c>
      <c r="BR50" s="201">
        <f t="shared" si="143"/>
        <v>0.68260926010152279</v>
      </c>
      <c r="BS50" s="201"/>
      <c r="BT50" s="201">
        <f t="shared" si="144"/>
        <v>7.9387867737315876E-2</v>
      </c>
      <c r="BU50" s="201">
        <f t="shared" si="145"/>
        <v>7.9387867737315876E-2</v>
      </c>
      <c r="BV50" s="201"/>
      <c r="BX50" s="48"/>
    </row>
    <row r="51" spans="1:77">
      <c r="A51" s="190">
        <v>9</v>
      </c>
      <c r="B51" s="191" t="s">
        <v>301</v>
      </c>
      <c r="C51" s="199">
        <f t="shared" si="50"/>
        <v>122922</v>
      </c>
      <c r="D51" s="200">
        <f t="shared" si="108"/>
        <v>104833</v>
      </c>
      <c r="E51" s="200">
        <f t="shared" si="109"/>
        <v>18089</v>
      </c>
      <c r="F51" s="200">
        <f t="shared" si="110"/>
        <v>13205</v>
      </c>
      <c r="G51" s="200">
        <f t="shared" si="111"/>
        <v>11165</v>
      </c>
      <c r="H51" s="200">
        <v>11165</v>
      </c>
      <c r="I51" s="200"/>
      <c r="J51" s="200">
        <f t="shared" si="112"/>
        <v>2040</v>
      </c>
      <c r="K51" s="200">
        <v>2040</v>
      </c>
      <c r="L51" s="200"/>
      <c r="M51" s="200">
        <f t="shared" si="113"/>
        <v>68529</v>
      </c>
      <c r="N51" s="200">
        <f t="shared" si="114"/>
        <v>61186</v>
      </c>
      <c r="O51" s="200">
        <v>61186</v>
      </c>
      <c r="P51" s="200"/>
      <c r="Q51" s="200">
        <f t="shared" si="115"/>
        <v>7343</v>
      </c>
      <c r="R51" s="200">
        <v>7343</v>
      </c>
      <c r="S51" s="200"/>
      <c r="T51" s="200">
        <f t="shared" si="116"/>
        <v>41188</v>
      </c>
      <c r="U51" s="200">
        <f t="shared" si="117"/>
        <v>32482</v>
      </c>
      <c r="V51" s="200">
        <v>32482</v>
      </c>
      <c r="W51" s="200"/>
      <c r="X51" s="200">
        <f t="shared" si="118"/>
        <v>8706</v>
      </c>
      <c r="Y51" s="200">
        <v>8706</v>
      </c>
      <c r="Z51" s="200"/>
      <c r="AA51" s="199">
        <f t="shared" si="119"/>
        <v>10806.253049999999</v>
      </c>
      <c r="AB51" s="200">
        <f t="shared" si="120"/>
        <v>2529.8260000000005</v>
      </c>
      <c r="AC51" s="200">
        <f t="shared" si="121"/>
        <v>8276.4270499999984</v>
      </c>
      <c r="AD51" s="200">
        <f t="shared" si="122"/>
        <v>668.577</v>
      </c>
      <c r="AE51" s="200">
        <f t="shared" si="123"/>
        <v>34.429000000000002</v>
      </c>
      <c r="AF51" s="200">
        <v>34.429000000000002</v>
      </c>
      <c r="AG51" s="200"/>
      <c r="AH51" s="200">
        <f t="shared" si="124"/>
        <v>634.14800000000002</v>
      </c>
      <c r="AI51" s="200">
        <v>634.14800000000002</v>
      </c>
      <c r="AJ51" s="200"/>
      <c r="AK51" s="200">
        <f t="shared" si="125"/>
        <v>5801.8019999999997</v>
      </c>
      <c r="AL51" s="200">
        <f t="shared" si="126"/>
        <v>2300.6170000000002</v>
      </c>
      <c r="AM51" s="200">
        <v>2300.6170000000002</v>
      </c>
      <c r="AN51" s="200"/>
      <c r="AO51" s="200">
        <f t="shared" si="127"/>
        <v>3501.1849999999999</v>
      </c>
      <c r="AP51" s="200">
        <v>3501.1849999999999</v>
      </c>
      <c r="AQ51" s="200"/>
      <c r="AR51" s="200">
        <f t="shared" si="128"/>
        <v>4335.8740499999994</v>
      </c>
      <c r="AS51" s="200">
        <f t="shared" si="129"/>
        <v>194.78</v>
      </c>
      <c r="AT51" s="200">
        <v>194.78</v>
      </c>
      <c r="AU51" s="200"/>
      <c r="AV51" s="200">
        <f t="shared" si="130"/>
        <v>4141.0940499999997</v>
      </c>
      <c r="AW51" s="200">
        <v>4141.0940499999997</v>
      </c>
      <c r="AX51" s="200"/>
      <c r="AY51" s="201">
        <f t="shared" si="90"/>
        <v>8.7911464587299259E-2</v>
      </c>
      <c r="AZ51" s="201">
        <f t="shared" si="131"/>
        <v>2.4131962263790985E-2</v>
      </c>
      <c r="BA51" s="201">
        <f t="shared" si="132"/>
        <v>0.45753922549615778</v>
      </c>
      <c r="BB51" s="201">
        <f t="shared" si="133"/>
        <v>5.0630594471790989E-2</v>
      </c>
      <c r="BC51" s="201">
        <f t="shared" si="134"/>
        <v>3.0836542767577252E-3</v>
      </c>
      <c r="BD51" s="201">
        <f t="shared" si="135"/>
        <v>3.0836542767577252E-3</v>
      </c>
      <c r="BE51" s="201"/>
      <c r="BF51" s="201">
        <f t="shared" si="136"/>
        <v>0.31085686274509805</v>
      </c>
      <c r="BG51" s="201">
        <f t="shared" si="137"/>
        <v>0.31085686274509805</v>
      </c>
      <c r="BH51" s="201"/>
      <c r="BI51" s="201">
        <f t="shared" si="138"/>
        <v>8.4661997110712248E-2</v>
      </c>
      <c r="BJ51" s="201">
        <f t="shared" si="146"/>
        <v>3.760038244042755E-2</v>
      </c>
      <c r="BK51" s="201">
        <f t="shared" si="147"/>
        <v>3.760038244042755E-2</v>
      </c>
      <c r="BL51" s="201"/>
      <c r="BM51" s="201">
        <f t="shared" si="139"/>
        <v>0.47680580144355167</v>
      </c>
      <c r="BN51" s="201">
        <f t="shared" si="140"/>
        <v>0.47680580144355167</v>
      </c>
      <c r="BO51" s="201"/>
      <c r="BP51" s="201">
        <f t="shared" si="141"/>
        <v>0.10527032266679615</v>
      </c>
      <c r="BQ51" s="201">
        <f t="shared" si="142"/>
        <v>5.9965519364571151E-3</v>
      </c>
      <c r="BR51" s="201">
        <f t="shared" si="143"/>
        <v>5.9965519364571151E-3</v>
      </c>
      <c r="BS51" s="201"/>
      <c r="BT51" s="201">
        <f t="shared" si="144"/>
        <v>0.47565978061107278</v>
      </c>
      <c r="BU51" s="201">
        <f t="shared" si="145"/>
        <v>0.47565978061107278</v>
      </c>
      <c r="BV51" s="201"/>
      <c r="BX51" s="48"/>
    </row>
    <row r="52" spans="1:77">
      <c r="A52" s="190">
        <v>10</v>
      </c>
      <c r="B52" s="191" t="s">
        <v>300</v>
      </c>
      <c r="C52" s="199">
        <f t="shared" si="50"/>
        <v>108505</v>
      </c>
      <c r="D52" s="200">
        <f t="shared" si="108"/>
        <v>94426</v>
      </c>
      <c r="E52" s="200">
        <f t="shared" si="109"/>
        <v>14079</v>
      </c>
      <c r="F52" s="200">
        <f t="shared" si="110"/>
        <v>5430</v>
      </c>
      <c r="G52" s="200">
        <f t="shared" si="111"/>
        <v>4290</v>
      </c>
      <c r="H52" s="200">
        <v>4290</v>
      </c>
      <c r="I52" s="200"/>
      <c r="J52" s="200">
        <f t="shared" si="112"/>
        <v>1140</v>
      </c>
      <c r="K52" s="200">
        <v>1140</v>
      </c>
      <c r="L52" s="200"/>
      <c r="M52" s="200">
        <f t="shared" si="113"/>
        <v>68626</v>
      </c>
      <c r="N52" s="200">
        <f t="shared" si="114"/>
        <v>63424</v>
      </c>
      <c r="O52" s="200">
        <v>63424</v>
      </c>
      <c r="P52" s="200"/>
      <c r="Q52" s="200">
        <f t="shared" si="115"/>
        <v>5202</v>
      </c>
      <c r="R52" s="200">
        <v>5202</v>
      </c>
      <c r="S52" s="200"/>
      <c r="T52" s="200">
        <f t="shared" si="116"/>
        <v>34449</v>
      </c>
      <c r="U52" s="200">
        <f t="shared" si="117"/>
        <v>26712</v>
      </c>
      <c r="V52" s="200">
        <v>26712</v>
      </c>
      <c r="W52" s="200"/>
      <c r="X52" s="200">
        <f t="shared" si="118"/>
        <v>7737</v>
      </c>
      <c r="Y52" s="200">
        <v>7737</v>
      </c>
      <c r="Z52" s="200"/>
      <c r="AA52" s="199">
        <f t="shared" si="119"/>
        <v>30085.290723999999</v>
      </c>
      <c r="AB52" s="200">
        <f t="shared" si="120"/>
        <v>28256.2948</v>
      </c>
      <c r="AC52" s="200">
        <f t="shared" si="121"/>
        <v>1828.9959239999998</v>
      </c>
      <c r="AD52" s="200">
        <f t="shared" si="122"/>
        <v>3084.9341979999999</v>
      </c>
      <c r="AE52" s="200">
        <f t="shared" si="123"/>
        <v>2584</v>
      </c>
      <c r="AF52" s="200">
        <v>2584</v>
      </c>
      <c r="AG52" s="200"/>
      <c r="AH52" s="200">
        <f t="shared" si="124"/>
        <v>500.93419799999998</v>
      </c>
      <c r="AI52" s="200">
        <v>500.93419799999998</v>
      </c>
      <c r="AJ52" s="200"/>
      <c r="AK52" s="200">
        <f t="shared" si="125"/>
        <v>17142.179001999997</v>
      </c>
      <c r="AL52" s="200">
        <f t="shared" si="126"/>
        <v>16409.593799999999</v>
      </c>
      <c r="AM52" s="200">
        <v>16409.593799999999</v>
      </c>
      <c r="AN52" s="200"/>
      <c r="AO52" s="200">
        <f t="shared" si="127"/>
        <v>732.58520199999998</v>
      </c>
      <c r="AP52" s="200">
        <v>732.58520199999998</v>
      </c>
      <c r="AQ52" s="200"/>
      <c r="AR52" s="200">
        <f t="shared" si="128"/>
        <v>9858.1775240000006</v>
      </c>
      <c r="AS52" s="200">
        <f t="shared" si="129"/>
        <v>9262.7010000000009</v>
      </c>
      <c r="AT52" s="200">
        <v>9262.7010000000009</v>
      </c>
      <c r="AU52" s="200"/>
      <c r="AV52" s="200">
        <f t="shared" si="130"/>
        <v>595.47652399999993</v>
      </c>
      <c r="AW52" s="200">
        <v>595.47652399999993</v>
      </c>
      <c r="AX52" s="200"/>
      <c r="AY52" s="201">
        <f t="shared" si="90"/>
        <v>0.27727100800884752</v>
      </c>
      <c r="AZ52" s="201">
        <f t="shared" si="131"/>
        <v>0.29924273822887765</v>
      </c>
      <c r="BA52" s="201">
        <f t="shared" si="132"/>
        <v>0.12990950522054123</v>
      </c>
      <c r="BB52" s="201">
        <f t="shared" si="133"/>
        <v>0.56812784493554325</v>
      </c>
      <c r="BC52" s="201">
        <f t="shared" si="134"/>
        <v>0.60233100233100234</v>
      </c>
      <c r="BD52" s="201">
        <f t="shared" si="135"/>
        <v>0.60233100233100234</v>
      </c>
      <c r="BE52" s="201"/>
      <c r="BF52" s="201">
        <f t="shared" si="136"/>
        <v>0.43941596315789472</v>
      </c>
      <c r="BG52" s="201">
        <f t="shared" si="137"/>
        <v>0.43941596315789472</v>
      </c>
      <c r="BH52" s="201"/>
      <c r="BI52" s="201">
        <f t="shared" si="138"/>
        <v>0.24979131818844166</v>
      </c>
      <c r="BJ52" s="201">
        <f t="shared" si="146"/>
        <v>0.25872845925832488</v>
      </c>
      <c r="BK52" s="201">
        <f t="shared" si="147"/>
        <v>0.25872845925832488</v>
      </c>
      <c r="BL52" s="201"/>
      <c r="BM52" s="201">
        <f t="shared" si="139"/>
        <v>0.14082760515186465</v>
      </c>
      <c r="BN52" s="201">
        <f t="shared" si="140"/>
        <v>0.14082760515186465</v>
      </c>
      <c r="BO52" s="201"/>
      <c r="BP52" s="201">
        <f t="shared" si="141"/>
        <v>0.28616730598856283</v>
      </c>
      <c r="BQ52" s="201">
        <f t="shared" si="142"/>
        <v>0.34676179245283023</v>
      </c>
      <c r="BR52" s="201">
        <f t="shared" si="143"/>
        <v>0.34676179245283023</v>
      </c>
      <c r="BS52" s="201"/>
      <c r="BT52" s="201">
        <f t="shared" si="144"/>
        <v>7.6964782732325182E-2</v>
      </c>
      <c r="BU52" s="201">
        <f t="shared" si="145"/>
        <v>7.6964782732325182E-2</v>
      </c>
      <c r="BV52" s="201"/>
    </row>
    <row r="53" spans="1:77" ht="9" customHeight="1">
      <c r="A53" s="204"/>
      <c r="B53" s="205"/>
      <c r="C53" s="206"/>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206"/>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207"/>
      <c r="AZ53" s="207"/>
      <c r="BA53" s="207"/>
      <c r="BB53" s="207"/>
      <c r="BC53" s="207"/>
      <c r="BD53" s="207"/>
      <c r="BE53" s="207"/>
      <c r="BF53" s="207"/>
      <c r="BG53" s="207"/>
      <c r="BH53" s="207"/>
      <c r="BI53" s="192"/>
      <c r="BJ53" s="192"/>
      <c r="BK53" s="192"/>
      <c r="BL53" s="192"/>
      <c r="BM53" s="192"/>
      <c r="BN53" s="192"/>
      <c r="BO53" s="192"/>
      <c r="BP53" s="207"/>
      <c r="BQ53" s="207"/>
      <c r="BR53" s="207"/>
      <c r="BS53" s="207"/>
      <c r="BT53" s="207"/>
      <c r="BU53" s="207"/>
      <c r="BV53" s="208"/>
    </row>
    <row r="55" spans="1:77">
      <c r="B55" s="45" t="s">
        <v>621</v>
      </c>
    </row>
    <row r="56" spans="1:77" s="14" customFormat="1">
      <c r="A56" s="45"/>
      <c r="B56" s="45"/>
      <c r="C56" s="15"/>
      <c r="AA56" s="45"/>
      <c r="AB56" s="45"/>
      <c r="AC56" s="45"/>
      <c r="AD56" s="45"/>
      <c r="AE56" s="45"/>
      <c r="AF56" s="45"/>
      <c r="AG56" s="45"/>
      <c r="AH56" s="45"/>
      <c r="AI56" s="45"/>
      <c r="AJ56" s="45"/>
      <c r="AK56" s="45"/>
      <c r="AL56" s="45"/>
      <c r="AM56" s="45"/>
      <c r="AN56" s="45"/>
      <c r="AO56" s="45"/>
      <c r="AP56" s="45"/>
      <c r="AQ56" s="45"/>
      <c r="AY56" s="45"/>
      <c r="AZ56" s="45"/>
      <c r="BA56" s="45"/>
      <c r="BB56" s="45"/>
      <c r="BC56" s="45"/>
      <c r="BD56" s="45"/>
      <c r="BE56" s="45"/>
      <c r="BF56" s="45"/>
      <c r="BG56" s="45"/>
      <c r="BH56" s="45"/>
      <c r="BP56" s="45"/>
      <c r="BQ56" s="45"/>
      <c r="BR56" s="45"/>
      <c r="BS56" s="45"/>
      <c r="BT56" s="45"/>
      <c r="BU56" s="45"/>
      <c r="BV56" s="45"/>
      <c r="BW56" s="45"/>
      <c r="BX56" s="45"/>
      <c r="BY56" s="45"/>
    </row>
  </sheetData>
  <mergeCells count="61">
    <mergeCell ref="AB9:AB10"/>
    <mergeCell ref="BF9:BH9"/>
    <mergeCell ref="BP9:BP10"/>
    <mergeCell ref="BQ9:BS9"/>
    <mergeCell ref="BT9:BV9"/>
    <mergeCell ref="AL9:AN9"/>
    <mergeCell ref="AO9:AQ9"/>
    <mergeCell ref="AZ9:AZ10"/>
    <mergeCell ref="BA9:BA10"/>
    <mergeCell ref="BB9:BB10"/>
    <mergeCell ref="BC9:BE9"/>
    <mergeCell ref="AV9:AX9"/>
    <mergeCell ref="A1:B1"/>
    <mergeCell ref="Q1:S1"/>
    <mergeCell ref="A3:BV3"/>
    <mergeCell ref="A4:BV4"/>
    <mergeCell ref="BU6:BV6"/>
    <mergeCell ref="X1:Z1"/>
    <mergeCell ref="AV1:AX1"/>
    <mergeCell ref="BM1:BO1"/>
    <mergeCell ref="A7:A10"/>
    <mergeCell ref="B7:B10"/>
    <mergeCell ref="AY7:BV7"/>
    <mergeCell ref="C8:C10"/>
    <mergeCell ref="D8:E8"/>
    <mergeCell ref="F8:L8"/>
    <mergeCell ref="M8:S8"/>
    <mergeCell ref="AA8:AA10"/>
    <mergeCell ref="D9:D10"/>
    <mergeCell ref="E9:E10"/>
    <mergeCell ref="F9:F10"/>
    <mergeCell ref="G9:I9"/>
    <mergeCell ref="BB8:BH8"/>
    <mergeCell ref="BP8:BV8"/>
    <mergeCell ref="AD8:AJ8"/>
    <mergeCell ref="AK8:AQ8"/>
    <mergeCell ref="T8:Z8"/>
    <mergeCell ref="T9:T10"/>
    <mergeCell ref="U9:W9"/>
    <mergeCell ref="X9:Z9"/>
    <mergeCell ref="C7:Z7"/>
    <mergeCell ref="J9:L9"/>
    <mergeCell ref="M9:M10"/>
    <mergeCell ref="N9:P9"/>
    <mergeCell ref="Q9:S9"/>
    <mergeCell ref="BI8:BO8"/>
    <mergeCell ref="BI9:BI10"/>
    <mergeCell ref="BJ9:BL9"/>
    <mergeCell ref="BM9:BO9"/>
    <mergeCell ref="AA7:AX7"/>
    <mergeCell ref="AY8:AY10"/>
    <mergeCell ref="AZ8:BA8"/>
    <mergeCell ref="AB8:AC8"/>
    <mergeCell ref="AD9:AD10"/>
    <mergeCell ref="AE9:AG9"/>
    <mergeCell ref="AH9:AJ9"/>
    <mergeCell ref="AK9:AK10"/>
    <mergeCell ref="AC9:AC10"/>
    <mergeCell ref="AR8:AX8"/>
    <mergeCell ref="AR9:AR10"/>
    <mergeCell ref="AS9:AU9"/>
  </mergeCells>
  <pageMargins left="0" right="0" top="0" bottom="0" header="0.31496062992125984" footer="0.31496062992125984"/>
  <pageSetup paperSize="9" scale="2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Normal="100" workbookViewId="0">
      <selection activeCell="F25" sqref="F25"/>
    </sheetView>
  </sheetViews>
  <sheetFormatPr defaultColWidth="7.7109375" defaultRowHeight="18.75"/>
  <cols>
    <col min="1" max="1" width="3.42578125" style="509" customWidth="1"/>
    <col min="2" max="2" width="37.42578125" style="509" customWidth="1"/>
    <col min="3" max="3" width="12.7109375" style="509" customWidth="1"/>
    <col min="4" max="4" width="12.140625" style="509" customWidth="1"/>
    <col min="5" max="5" width="12.85546875" style="509" customWidth="1"/>
    <col min="6" max="6" width="10.7109375" style="509" customWidth="1"/>
    <col min="7" max="7" width="12.5703125" style="509" customWidth="1"/>
    <col min="8" max="8" width="10.7109375" style="509" customWidth="1"/>
    <col min="9" max="9" width="11.28515625" style="509" customWidth="1"/>
    <col min="10" max="11" width="10.7109375" style="509" customWidth="1"/>
    <col min="12" max="12" width="15.140625" style="509" customWidth="1"/>
    <col min="13" max="13" width="7.7109375" style="509"/>
    <col min="14" max="14" width="8.42578125" style="509" bestFit="1" customWidth="1"/>
    <col min="15" max="256" width="7.7109375" style="509"/>
    <col min="257" max="257" width="3.42578125" style="509" customWidth="1"/>
    <col min="258" max="258" width="14.5703125" style="509" customWidth="1"/>
    <col min="259" max="268" width="10.7109375" style="509" customWidth="1"/>
    <col min="269" max="512" width="7.7109375" style="509"/>
    <col min="513" max="513" width="3.42578125" style="509" customWidth="1"/>
    <col min="514" max="514" width="14.5703125" style="509" customWidth="1"/>
    <col min="515" max="524" width="10.7109375" style="509" customWidth="1"/>
    <col min="525" max="768" width="7.7109375" style="509"/>
    <col min="769" max="769" width="3.42578125" style="509" customWidth="1"/>
    <col min="770" max="770" width="14.5703125" style="509" customWidth="1"/>
    <col min="771" max="780" width="10.7109375" style="509" customWidth="1"/>
    <col min="781" max="1024" width="7.7109375" style="509"/>
    <col min="1025" max="1025" width="3.42578125" style="509" customWidth="1"/>
    <col min="1026" max="1026" width="14.5703125" style="509" customWidth="1"/>
    <col min="1027" max="1036" width="10.7109375" style="509" customWidth="1"/>
    <col min="1037" max="1280" width="7.7109375" style="509"/>
    <col min="1281" max="1281" width="3.42578125" style="509" customWidth="1"/>
    <col min="1282" max="1282" width="14.5703125" style="509" customWidth="1"/>
    <col min="1283" max="1292" width="10.7109375" style="509" customWidth="1"/>
    <col min="1293" max="1536" width="7.7109375" style="509"/>
    <col min="1537" max="1537" width="3.42578125" style="509" customWidth="1"/>
    <col min="1538" max="1538" width="14.5703125" style="509" customWidth="1"/>
    <col min="1539" max="1548" width="10.7109375" style="509" customWidth="1"/>
    <col min="1549" max="1792" width="7.7109375" style="509"/>
    <col min="1793" max="1793" width="3.42578125" style="509" customWidth="1"/>
    <col min="1794" max="1794" width="14.5703125" style="509" customWidth="1"/>
    <col min="1795" max="1804" width="10.7109375" style="509" customWidth="1"/>
    <col min="1805" max="2048" width="7.7109375" style="509"/>
    <col min="2049" max="2049" width="3.42578125" style="509" customWidth="1"/>
    <col min="2050" max="2050" width="14.5703125" style="509" customWidth="1"/>
    <col min="2051" max="2060" width="10.7109375" style="509" customWidth="1"/>
    <col min="2061" max="2304" width="7.7109375" style="509"/>
    <col min="2305" max="2305" width="3.42578125" style="509" customWidth="1"/>
    <col min="2306" max="2306" width="14.5703125" style="509" customWidth="1"/>
    <col min="2307" max="2316" width="10.7109375" style="509" customWidth="1"/>
    <col min="2317" max="2560" width="7.7109375" style="509"/>
    <col min="2561" max="2561" width="3.42578125" style="509" customWidth="1"/>
    <col min="2562" max="2562" width="14.5703125" style="509" customWidth="1"/>
    <col min="2563" max="2572" width="10.7109375" style="509" customWidth="1"/>
    <col min="2573" max="2816" width="7.7109375" style="509"/>
    <col min="2817" max="2817" width="3.42578125" style="509" customWidth="1"/>
    <col min="2818" max="2818" width="14.5703125" style="509" customWidth="1"/>
    <col min="2819" max="2828" width="10.7109375" style="509" customWidth="1"/>
    <col min="2829" max="3072" width="7.7109375" style="509"/>
    <col min="3073" max="3073" width="3.42578125" style="509" customWidth="1"/>
    <col min="3074" max="3074" width="14.5703125" style="509" customWidth="1"/>
    <col min="3075" max="3084" width="10.7109375" style="509" customWidth="1"/>
    <col min="3085" max="3328" width="7.7109375" style="509"/>
    <col min="3329" max="3329" width="3.42578125" style="509" customWidth="1"/>
    <col min="3330" max="3330" width="14.5703125" style="509" customWidth="1"/>
    <col min="3331" max="3340" width="10.7109375" style="509" customWidth="1"/>
    <col min="3341" max="3584" width="7.7109375" style="509"/>
    <col min="3585" max="3585" width="3.42578125" style="509" customWidth="1"/>
    <col min="3586" max="3586" width="14.5703125" style="509" customWidth="1"/>
    <col min="3587" max="3596" width="10.7109375" style="509" customWidth="1"/>
    <col min="3597" max="3840" width="7.7109375" style="509"/>
    <col min="3841" max="3841" width="3.42578125" style="509" customWidth="1"/>
    <col min="3842" max="3842" width="14.5703125" style="509" customWidth="1"/>
    <col min="3843" max="3852" width="10.7109375" style="509" customWidth="1"/>
    <col min="3853" max="4096" width="7.7109375" style="509"/>
    <col min="4097" max="4097" width="3.42578125" style="509" customWidth="1"/>
    <col min="4098" max="4098" width="14.5703125" style="509" customWidth="1"/>
    <col min="4099" max="4108" width="10.7109375" style="509" customWidth="1"/>
    <col min="4109" max="4352" width="7.7109375" style="509"/>
    <col min="4353" max="4353" width="3.42578125" style="509" customWidth="1"/>
    <col min="4354" max="4354" width="14.5703125" style="509" customWidth="1"/>
    <col min="4355" max="4364" width="10.7109375" style="509" customWidth="1"/>
    <col min="4365" max="4608" width="7.7109375" style="509"/>
    <col min="4609" max="4609" width="3.42578125" style="509" customWidth="1"/>
    <col min="4610" max="4610" width="14.5703125" style="509" customWidth="1"/>
    <col min="4611" max="4620" width="10.7109375" style="509" customWidth="1"/>
    <col min="4621" max="4864" width="7.7109375" style="509"/>
    <col min="4865" max="4865" width="3.42578125" style="509" customWidth="1"/>
    <col min="4866" max="4866" width="14.5703125" style="509" customWidth="1"/>
    <col min="4867" max="4876" width="10.7109375" style="509" customWidth="1"/>
    <col min="4877" max="5120" width="7.7109375" style="509"/>
    <col min="5121" max="5121" width="3.42578125" style="509" customWidth="1"/>
    <col min="5122" max="5122" width="14.5703125" style="509" customWidth="1"/>
    <col min="5123" max="5132" width="10.7109375" style="509" customWidth="1"/>
    <col min="5133" max="5376" width="7.7109375" style="509"/>
    <col min="5377" max="5377" width="3.42578125" style="509" customWidth="1"/>
    <col min="5378" max="5378" width="14.5703125" style="509" customWidth="1"/>
    <col min="5379" max="5388" width="10.7109375" style="509" customWidth="1"/>
    <col min="5389" max="5632" width="7.7109375" style="509"/>
    <col min="5633" max="5633" width="3.42578125" style="509" customWidth="1"/>
    <col min="5634" max="5634" width="14.5703125" style="509" customWidth="1"/>
    <col min="5635" max="5644" width="10.7109375" style="509" customWidth="1"/>
    <col min="5645" max="5888" width="7.7109375" style="509"/>
    <col min="5889" max="5889" width="3.42578125" style="509" customWidth="1"/>
    <col min="5890" max="5890" width="14.5703125" style="509" customWidth="1"/>
    <col min="5891" max="5900" width="10.7109375" style="509" customWidth="1"/>
    <col min="5901" max="6144" width="7.7109375" style="509"/>
    <col min="6145" max="6145" width="3.42578125" style="509" customWidth="1"/>
    <col min="6146" max="6146" width="14.5703125" style="509" customWidth="1"/>
    <col min="6147" max="6156" width="10.7109375" style="509" customWidth="1"/>
    <col min="6157" max="6400" width="7.7109375" style="509"/>
    <col min="6401" max="6401" width="3.42578125" style="509" customWidth="1"/>
    <col min="6402" max="6402" width="14.5703125" style="509" customWidth="1"/>
    <col min="6403" max="6412" width="10.7109375" style="509" customWidth="1"/>
    <col min="6413" max="6656" width="7.7109375" style="509"/>
    <col min="6657" max="6657" width="3.42578125" style="509" customWidth="1"/>
    <col min="6658" max="6658" width="14.5703125" style="509" customWidth="1"/>
    <col min="6659" max="6668" width="10.7109375" style="509" customWidth="1"/>
    <col min="6669" max="6912" width="7.7109375" style="509"/>
    <col min="6913" max="6913" width="3.42578125" style="509" customWidth="1"/>
    <col min="6914" max="6914" width="14.5703125" style="509" customWidth="1"/>
    <col min="6915" max="6924" width="10.7109375" style="509" customWidth="1"/>
    <col min="6925" max="7168" width="7.7109375" style="509"/>
    <col min="7169" max="7169" width="3.42578125" style="509" customWidth="1"/>
    <col min="7170" max="7170" width="14.5703125" style="509" customWidth="1"/>
    <col min="7171" max="7180" width="10.7109375" style="509" customWidth="1"/>
    <col min="7181" max="7424" width="7.7109375" style="509"/>
    <col min="7425" max="7425" width="3.42578125" style="509" customWidth="1"/>
    <col min="7426" max="7426" width="14.5703125" style="509" customWidth="1"/>
    <col min="7427" max="7436" width="10.7109375" style="509" customWidth="1"/>
    <col min="7437" max="7680" width="7.7109375" style="509"/>
    <col min="7681" max="7681" width="3.42578125" style="509" customWidth="1"/>
    <col min="7682" max="7682" width="14.5703125" style="509" customWidth="1"/>
    <col min="7683" max="7692" width="10.7109375" style="509" customWidth="1"/>
    <col min="7693" max="7936" width="7.7109375" style="509"/>
    <col min="7937" max="7937" width="3.42578125" style="509" customWidth="1"/>
    <col min="7938" max="7938" width="14.5703125" style="509" customWidth="1"/>
    <col min="7939" max="7948" width="10.7109375" style="509" customWidth="1"/>
    <col min="7949" max="8192" width="7.7109375" style="509"/>
    <col min="8193" max="8193" width="3.42578125" style="509" customWidth="1"/>
    <col min="8194" max="8194" width="14.5703125" style="509" customWidth="1"/>
    <col min="8195" max="8204" width="10.7109375" style="509" customWidth="1"/>
    <col min="8205" max="8448" width="7.7109375" style="509"/>
    <col min="8449" max="8449" width="3.42578125" style="509" customWidth="1"/>
    <col min="8450" max="8450" width="14.5703125" style="509" customWidth="1"/>
    <col min="8451" max="8460" width="10.7109375" style="509" customWidth="1"/>
    <col min="8461" max="8704" width="7.7109375" style="509"/>
    <col min="8705" max="8705" width="3.42578125" style="509" customWidth="1"/>
    <col min="8706" max="8706" width="14.5703125" style="509" customWidth="1"/>
    <col min="8707" max="8716" width="10.7109375" style="509" customWidth="1"/>
    <col min="8717" max="8960" width="7.7109375" style="509"/>
    <col min="8961" max="8961" width="3.42578125" style="509" customWidth="1"/>
    <col min="8962" max="8962" width="14.5703125" style="509" customWidth="1"/>
    <col min="8963" max="8972" width="10.7109375" style="509" customWidth="1"/>
    <col min="8973" max="9216" width="7.7109375" style="509"/>
    <col min="9217" max="9217" width="3.42578125" style="509" customWidth="1"/>
    <col min="9218" max="9218" width="14.5703125" style="509" customWidth="1"/>
    <col min="9219" max="9228" width="10.7109375" style="509" customWidth="1"/>
    <col min="9229" max="9472" width="7.7109375" style="509"/>
    <col min="9473" max="9473" width="3.42578125" style="509" customWidth="1"/>
    <col min="9474" max="9474" width="14.5703125" style="509" customWidth="1"/>
    <col min="9475" max="9484" width="10.7109375" style="509" customWidth="1"/>
    <col min="9485" max="9728" width="7.7109375" style="509"/>
    <col min="9729" max="9729" width="3.42578125" style="509" customWidth="1"/>
    <col min="9730" max="9730" width="14.5703125" style="509" customWidth="1"/>
    <col min="9731" max="9740" width="10.7109375" style="509" customWidth="1"/>
    <col min="9741" max="9984" width="7.7109375" style="509"/>
    <col min="9985" max="9985" width="3.42578125" style="509" customWidth="1"/>
    <col min="9986" max="9986" width="14.5703125" style="509" customWidth="1"/>
    <col min="9987" max="9996" width="10.7109375" style="509" customWidth="1"/>
    <col min="9997" max="10240" width="7.7109375" style="509"/>
    <col min="10241" max="10241" width="3.42578125" style="509" customWidth="1"/>
    <col min="10242" max="10242" width="14.5703125" style="509" customWidth="1"/>
    <col min="10243" max="10252" width="10.7109375" style="509" customWidth="1"/>
    <col min="10253" max="10496" width="7.7109375" style="509"/>
    <col min="10497" max="10497" width="3.42578125" style="509" customWidth="1"/>
    <col min="10498" max="10498" width="14.5703125" style="509" customWidth="1"/>
    <col min="10499" max="10508" width="10.7109375" style="509" customWidth="1"/>
    <col min="10509" max="10752" width="7.7109375" style="509"/>
    <col min="10753" max="10753" width="3.42578125" style="509" customWidth="1"/>
    <col min="10754" max="10754" width="14.5703125" style="509" customWidth="1"/>
    <col min="10755" max="10764" width="10.7109375" style="509" customWidth="1"/>
    <col min="10765" max="11008" width="7.7109375" style="509"/>
    <col min="11009" max="11009" width="3.42578125" style="509" customWidth="1"/>
    <col min="11010" max="11010" width="14.5703125" style="509" customWidth="1"/>
    <col min="11011" max="11020" width="10.7109375" style="509" customWidth="1"/>
    <col min="11021" max="11264" width="7.7109375" style="509"/>
    <col min="11265" max="11265" width="3.42578125" style="509" customWidth="1"/>
    <col min="11266" max="11266" width="14.5703125" style="509" customWidth="1"/>
    <col min="11267" max="11276" width="10.7109375" style="509" customWidth="1"/>
    <col min="11277" max="11520" width="7.7109375" style="509"/>
    <col min="11521" max="11521" width="3.42578125" style="509" customWidth="1"/>
    <col min="11522" max="11522" width="14.5703125" style="509" customWidth="1"/>
    <col min="11523" max="11532" width="10.7109375" style="509" customWidth="1"/>
    <col min="11533" max="11776" width="7.7109375" style="509"/>
    <col min="11777" max="11777" width="3.42578125" style="509" customWidth="1"/>
    <col min="11778" max="11778" width="14.5703125" style="509" customWidth="1"/>
    <col min="11779" max="11788" width="10.7109375" style="509" customWidth="1"/>
    <col min="11789" max="12032" width="7.7109375" style="509"/>
    <col min="12033" max="12033" width="3.42578125" style="509" customWidth="1"/>
    <col min="12034" max="12034" width="14.5703125" style="509" customWidth="1"/>
    <col min="12035" max="12044" width="10.7109375" style="509" customWidth="1"/>
    <col min="12045" max="12288" width="7.7109375" style="509"/>
    <col min="12289" max="12289" width="3.42578125" style="509" customWidth="1"/>
    <col min="12290" max="12290" width="14.5703125" style="509" customWidth="1"/>
    <col min="12291" max="12300" width="10.7109375" style="509" customWidth="1"/>
    <col min="12301" max="12544" width="7.7109375" style="509"/>
    <col min="12545" max="12545" width="3.42578125" style="509" customWidth="1"/>
    <col min="12546" max="12546" width="14.5703125" style="509" customWidth="1"/>
    <col min="12547" max="12556" width="10.7109375" style="509" customWidth="1"/>
    <col min="12557" max="12800" width="7.7109375" style="509"/>
    <col min="12801" max="12801" width="3.42578125" style="509" customWidth="1"/>
    <col min="12802" max="12802" width="14.5703125" style="509" customWidth="1"/>
    <col min="12803" max="12812" width="10.7109375" style="509" customWidth="1"/>
    <col min="12813" max="13056" width="7.7109375" style="509"/>
    <col min="13057" max="13057" width="3.42578125" style="509" customWidth="1"/>
    <col min="13058" max="13058" width="14.5703125" style="509" customWidth="1"/>
    <col min="13059" max="13068" width="10.7109375" style="509" customWidth="1"/>
    <col min="13069" max="13312" width="7.7109375" style="509"/>
    <col min="13313" max="13313" width="3.42578125" style="509" customWidth="1"/>
    <col min="13314" max="13314" width="14.5703125" style="509" customWidth="1"/>
    <col min="13315" max="13324" width="10.7109375" style="509" customWidth="1"/>
    <col min="13325" max="13568" width="7.7109375" style="509"/>
    <col min="13569" max="13569" width="3.42578125" style="509" customWidth="1"/>
    <col min="13570" max="13570" width="14.5703125" style="509" customWidth="1"/>
    <col min="13571" max="13580" width="10.7109375" style="509" customWidth="1"/>
    <col min="13581" max="13824" width="7.7109375" style="509"/>
    <col min="13825" max="13825" width="3.42578125" style="509" customWidth="1"/>
    <col min="13826" max="13826" width="14.5703125" style="509" customWidth="1"/>
    <col min="13827" max="13836" width="10.7109375" style="509" customWidth="1"/>
    <col min="13837" max="14080" width="7.7109375" style="509"/>
    <col min="14081" max="14081" width="3.42578125" style="509" customWidth="1"/>
    <col min="14082" max="14082" width="14.5703125" style="509" customWidth="1"/>
    <col min="14083" max="14092" width="10.7109375" style="509" customWidth="1"/>
    <col min="14093" max="14336" width="7.7109375" style="509"/>
    <col min="14337" max="14337" width="3.42578125" style="509" customWidth="1"/>
    <col min="14338" max="14338" width="14.5703125" style="509" customWidth="1"/>
    <col min="14339" max="14348" width="10.7109375" style="509" customWidth="1"/>
    <col min="14349" max="14592" width="7.7109375" style="509"/>
    <col min="14593" max="14593" width="3.42578125" style="509" customWidth="1"/>
    <col min="14594" max="14594" width="14.5703125" style="509" customWidth="1"/>
    <col min="14595" max="14604" width="10.7109375" style="509" customWidth="1"/>
    <col min="14605" max="14848" width="7.7109375" style="509"/>
    <col min="14849" max="14849" width="3.42578125" style="509" customWidth="1"/>
    <col min="14850" max="14850" width="14.5703125" style="509" customWidth="1"/>
    <col min="14851" max="14860" width="10.7109375" style="509" customWidth="1"/>
    <col min="14861" max="15104" width="7.7109375" style="509"/>
    <col min="15105" max="15105" width="3.42578125" style="509" customWidth="1"/>
    <col min="15106" max="15106" width="14.5703125" style="509" customWidth="1"/>
    <col min="15107" max="15116" width="10.7109375" style="509" customWidth="1"/>
    <col min="15117" max="15360" width="7.7109375" style="509"/>
    <col min="15361" max="15361" width="3.42578125" style="509" customWidth="1"/>
    <col min="15362" max="15362" width="14.5703125" style="509" customWidth="1"/>
    <col min="15363" max="15372" width="10.7109375" style="509" customWidth="1"/>
    <col min="15373" max="15616" width="7.7109375" style="509"/>
    <col min="15617" max="15617" width="3.42578125" style="509" customWidth="1"/>
    <col min="15618" max="15618" width="14.5703125" style="509" customWidth="1"/>
    <col min="15619" max="15628" width="10.7109375" style="509" customWidth="1"/>
    <col min="15629" max="15872" width="7.7109375" style="509"/>
    <col min="15873" max="15873" width="3.42578125" style="509" customWidth="1"/>
    <col min="15874" max="15874" width="14.5703125" style="509" customWidth="1"/>
    <col min="15875" max="15884" width="10.7109375" style="509" customWidth="1"/>
    <col min="15885" max="16128" width="7.7109375" style="509"/>
    <col min="16129" max="16129" width="3.42578125" style="509" customWidth="1"/>
    <col min="16130" max="16130" width="14.5703125" style="509" customWidth="1"/>
    <col min="16131" max="16140" width="10.7109375" style="509" customWidth="1"/>
    <col min="16141" max="16384" width="7.7109375" style="509"/>
  </cols>
  <sheetData>
    <row r="1" spans="1:19">
      <c r="A1" s="506"/>
      <c r="B1" s="506"/>
      <c r="C1" s="506"/>
      <c r="D1" s="506"/>
      <c r="E1" s="506"/>
      <c r="F1" s="506"/>
      <c r="G1" s="506"/>
      <c r="H1" s="506"/>
      <c r="I1" s="506"/>
      <c r="J1" s="506"/>
      <c r="K1" s="506"/>
      <c r="L1" s="507" t="s">
        <v>364</v>
      </c>
      <c r="M1" s="508"/>
    </row>
    <row r="2" spans="1:19" s="510" customFormat="1">
      <c r="A2" s="664" t="s">
        <v>365</v>
      </c>
      <c r="B2" s="664"/>
      <c r="C2" s="664"/>
      <c r="D2" s="664"/>
      <c r="E2" s="664"/>
      <c r="F2" s="664"/>
      <c r="G2" s="664"/>
      <c r="H2" s="664"/>
      <c r="I2" s="664"/>
      <c r="J2" s="664"/>
      <c r="K2" s="664"/>
      <c r="L2" s="664"/>
    </row>
    <row r="3" spans="1:19" s="510" customFormat="1">
      <c r="A3" s="664" t="s">
        <v>651</v>
      </c>
      <c r="B3" s="664"/>
      <c r="C3" s="664"/>
      <c r="D3" s="664"/>
      <c r="E3" s="664"/>
      <c r="F3" s="664"/>
      <c r="G3" s="664"/>
      <c r="H3" s="664"/>
      <c r="I3" s="664"/>
      <c r="J3" s="664"/>
      <c r="K3" s="664"/>
      <c r="L3" s="664"/>
    </row>
    <row r="4" spans="1:19" s="510" customFormat="1">
      <c r="A4" s="665" t="s">
        <v>641</v>
      </c>
      <c r="B4" s="665"/>
      <c r="C4" s="665"/>
      <c r="D4" s="665"/>
      <c r="E4" s="665"/>
      <c r="F4" s="665"/>
      <c r="G4" s="665"/>
      <c r="H4" s="665"/>
      <c r="I4" s="665"/>
      <c r="J4" s="665"/>
      <c r="K4" s="665"/>
      <c r="L4" s="665"/>
    </row>
    <row r="5" spans="1:19" s="510" customFormat="1">
      <c r="A5" s="666"/>
      <c r="B5" s="666"/>
      <c r="C5" s="666"/>
      <c r="D5" s="511"/>
      <c r="E5" s="511"/>
      <c r="F5" s="511"/>
      <c r="G5" s="511"/>
      <c r="H5" s="511"/>
      <c r="I5" s="512"/>
      <c r="J5" s="512"/>
      <c r="K5" s="512"/>
      <c r="L5" s="512"/>
    </row>
    <row r="6" spans="1:19" ht="19.5">
      <c r="A6" s="506"/>
      <c r="B6" s="506"/>
      <c r="C6" s="506"/>
      <c r="D6" s="506"/>
      <c r="E6" s="506"/>
      <c r="F6" s="506"/>
      <c r="G6" s="506"/>
      <c r="H6" s="506"/>
      <c r="I6" s="506"/>
      <c r="J6" s="506"/>
      <c r="K6" s="513"/>
      <c r="L6" s="514" t="s">
        <v>62</v>
      </c>
      <c r="M6" s="515"/>
      <c r="N6" s="515"/>
      <c r="O6" s="515"/>
    </row>
    <row r="7" spans="1:19" s="517" customFormat="1">
      <c r="A7" s="667" t="s">
        <v>16</v>
      </c>
      <c r="B7" s="668" t="s">
        <v>366</v>
      </c>
      <c r="C7" s="667" t="s">
        <v>593</v>
      </c>
      <c r="D7" s="667" t="s">
        <v>653</v>
      </c>
      <c r="E7" s="667"/>
      <c r="F7" s="667"/>
      <c r="G7" s="667"/>
      <c r="H7" s="667" t="s">
        <v>654</v>
      </c>
      <c r="I7" s="667"/>
      <c r="J7" s="667"/>
      <c r="K7" s="667"/>
      <c r="L7" s="667" t="s">
        <v>729</v>
      </c>
      <c r="O7" s="510"/>
      <c r="P7" s="510"/>
      <c r="Q7" s="510"/>
      <c r="R7" s="510"/>
      <c r="S7" s="510"/>
    </row>
    <row r="8" spans="1:19" s="517" customFormat="1" ht="36.75" customHeight="1">
      <c r="A8" s="667"/>
      <c r="B8" s="668"/>
      <c r="C8" s="667"/>
      <c r="D8" s="667" t="s">
        <v>367</v>
      </c>
      <c r="E8" s="667"/>
      <c r="F8" s="667" t="s">
        <v>368</v>
      </c>
      <c r="G8" s="667" t="s">
        <v>369</v>
      </c>
      <c r="H8" s="667" t="s">
        <v>367</v>
      </c>
      <c r="I8" s="667"/>
      <c r="J8" s="667" t="s">
        <v>368</v>
      </c>
      <c r="K8" s="667" t="s">
        <v>369</v>
      </c>
      <c r="L8" s="667"/>
      <c r="O8" s="515"/>
      <c r="P8" s="509"/>
      <c r="Q8" s="509"/>
      <c r="R8" s="509"/>
      <c r="S8" s="509"/>
    </row>
    <row r="9" spans="1:19" s="517" customFormat="1">
      <c r="A9" s="667"/>
      <c r="B9" s="668"/>
      <c r="C9" s="667"/>
      <c r="D9" s="667" t="s">
        <v>153</v>
      </c>
      <c r="E9" s="667" t="s">
        <v>791</v>
      </c>
      <c r="F9" s="667"/>
      <c r="G9" s="667"/>
      <c r="H9" s="667" t="s">
        <v>153</v>
      </c>
      <c r="I9" s="667" t="s">
        <v>791</v>
      </c>
      <c r="J9" s="667"/>
      <c r="K9" s="667"/>
      <c r="L9" s="667"/>
      <c r="O9" s="510"/>
      <c r="P9" s="510"/>
      <c r="Q9" s="510"/>
      <c r="R9" s="510"/>
      <c r="S9" s="510"/>
    </row>
    <row r="10" spans="1:19" s="517" customFormat="1" ht="42.75" customHeight="1">
      <c r="A10" s="667"/>
      <c r="B10" s="668"/>
      <c r="C10" s="667"/>
      <c r="D10" s="667"/>
      <c r="E10" s="667"/>
      <c r="F10" s="667"/>
      <c r="G10" s="667"/>
      <c r="H10" s="667"/>
      <c r="I10" s="667"/>
      <c r="J10" s="667"/>
      <c r="K10" s="667"/>
      <c r="L10" s="667"/>
    </row>
    <row r="11" spans="1:19" s="518" customFormat="1" ht="12.75">
      <c r="A11" s="516" t="s">
        <v>23</v>
      </c>
      <c r="B11" s="516" t="s">
        <v>24</v>
      </c>
      <c r="C11" s="516">
        <v>1</v>
      </c>
      <c r="D11" s="516">
        <f>C11+1</f>
        <v>2</v>
      </c>
      <c r="E11" s="516">
        <f>D11+1</f>
        <v>3</v>
      </c>
      <c r="F11" s="516">
        <f>E11+1</f>
        <v>4</v>
      </c>
      <c r="G11" s="516" t="s">
        <v>370</v>
      </c>
      <c r="H11" s="516">
        <v>6</v>
      </c>
      <c r="I11" s="516">
        <f>H11+1</f>
        <v>7</v>
      </c>
      <c r="J11" s="516">
        <f>I11+1</f>
        <v>8</v>
      </c>
      <c r="K11" s="516" t="s">
        <v>371</v>
      </c>
      <c r="L11" s="516" t="s">
        <v>372</v>
      </c>
    </row>
    <row r="12" spans="1:19" s="518" customFormat="1" ht="12.75">
      <c r="A12" s="519"/>
      <c r="B12" s="520" t="s">
        <v>522</v>
      </c>
      <c r="C12" s="521">
        <f>SUM(C13:C29)</f>
        <v>659518.77604499995</v>
      </c>
      <c r="D12" s="521">
        <f t="shared" ref="D12:L12" si="0">SUM(D13:D29)</f>
        <v>584793</v>
      </c>
      <c r="E12" s="521">
        <f t="shared" si="0"/>
        <v>50933</v>
      </c>
      <c r="F12" s="521">
        <f t="shared" si="0"/>
        <v>616991</v>
      </c>
      <c r="G12" s="521">
        <f t="shared" si="0"/>
        <v>-32165</v>
      </c>
      <c r="H12" s="521">
        <f t="shared" si="0"/>
        <v>493437.1</v>
      </c>
      <c r="I12" s="521">
        <f t="shared" si="0"/>
        <v>30605</v>
      </c>
      <c r="J12" s="521">
        <f t="shared" si="0"/>
        <v>444706.52399999998</v>
      </c>
      <c r="K12" s="521">
        <f t="shared" si="0"/>
        <v>48730.576000000001</v>
      </c>
      <c r="L12" s="521">
        <f t="shared" si="0"/>
        <v>708249.35204499995</v>
      </c>
      <c r="N12" s="522"/>
    </row>
    <row r="13" spans="1:19" s="508" customFormat="1" ht="15.75">
      <c r="A13" s="523">
        <v>1</v>
      </c>
      <c r="B13" s="524" t="s">
        <v>502</v>
      </c>
      <c r="C13" s="525">
        <v>186003</v>
      </c>
      <c r="D13" s="525">
        <v>24008</v>
      </c>
      <c r="E13" s="525">
        <v>10000</v>
      </c>
      <c r="F13" s="525">
        <v>56652</v>
      </c>
      <c r="G13" s="525">
        <f>D13-F13</f>
        <v>-32644</v>
      </c>
      <c r="H13" s="525">
        <v>13281</v>
      </c>
      <c r="I13" s="525"/>
      <c r="J13" s="525">
        <v>31424</v>
      </c>
      <c r="K13" s="525">
        <f>H13-J13</f>
        <v>-18143</v>
      </c>
      <c r="L13" s="525">
        <f>C13+H13-J13</f>
        <v>167860</v>
      </c>
      <c r="N13" s="526"/>
      <c r="O13" s="526"/>
    </row>
    <row r="14" spans="1:19" s="508" customFormat="1" ht="15.75">
      <c r="A14" s="523">
        <v>2</v>
      </c>
      <c r="B14" s="524" t="s">
        <v>451</v>
      </c>
      <c r="C14" s="525">
        <v>47452</v>
      </c>
      <c r="D14" s="525">
        <v>199658</v>
      </c>
      <c r="E14" s="525">
        <v>7933</v>
      </c>
      <c r="F14" s="525">
        <v>200730</v>
      </c>
      <c r="G14" s="525">
        <f t="shared" ref="G14:G29" si="1">D14-F14</f>
        <v>-1072</v>
      </c>
      <c r="H14" s="525">
        <v>47176</v>
      </c>
      <c r="I14" s="525">
        <v>17902</v>
      </c>
      <c r="J14" s="525">
        <v>49104</v>
      </c>
      <c r="K14" s="525">
        <f t="shared" ref="K14:K29" si="2">H14-J14</f>
        <v>-1928</v>
      </c>
      <c r="L14" s="525">
        <f t="shared" ref="L14:L29" si="3">C14+H14-J14</f>
        <v>45524</v>
      </c>
      <c r="N14" s="526"/>
      <c r="O14" s="526"/>
    </row>
    <row r="15" spans="1:19" s="508" customFormat="1" ht="15.75">
      <c r="A15" s="523">
        <v>3</v>
      </c>
      <c r="B15" s="527" t="s">
        <v>503</v>
      </c>
      <c r="C15" s="525">
        <v>390194</v>
      </c>
      <c r="D15" s="525">
        <v>310100</v>
      </c>
      <c r="E15" s="525"/>
      <c r="F15" s="525">
        <v>312643</v>
      </c>
      <c r="G15" s="525">
        <f t="shared" si="1"/>
        <v>-2543</v>
      </c>
      <c r="H15" s="525">
        <v>408723</v>
      </c>
      <c r="I15" s="525"/>
      <c r="J15" s="525">
        <v>325316</v>
      </c>
      <c r="K15" s="525">
        <f t="shared" si="2"/>
        <v>83407</v>
      </c>
      <c r="L15" s="525">
        <f t="shared" si="3"/>
        <v>473601</v>
      </c>
      <c r="N15" s="526"/>
      <c r="O15" s="526"/>
    </row>
    <row r="16" spans="1:19" s="528" customFormat="1">
      <c r="A16" s="523">
        <v>4</v>
      </c>
      <c r="B16" s="524" t="s">
        <v>504</v>
      </c>
      <c r="C16" s="525">
        <v>3218</v>
      </c>
      <c r="D16" s="525">
        <v>1000</v>
      </c>
      <c r="E16" s="525"/>
      <c r="F16" s="525">
        <v>1000</v>
      </c>
      <c r="G16" s="525">
        <f t="shared" si="1"/>
        <v>0</v>
      </c>
      <c r="H16" s="525">
        <v>4576</v>
      </c>
      <c r="I16" s="525"/>
      <c r="J16" s="525">
        <v>7077</v>
      </c>
      <c r="K16" s="525">
        <f t="shared" si="2"/>
        <v>-2501</v>
      </c>
      <c r="L16" s="525">
        <f t="shared" si="3"/>
        <v>717</v>
      </c>
      <c r="N16" s="526"/>
      <c r="O16" s="526"/>
    </row>
    <row r="17" spans="1:15" s="528" customFormat="1">
      <c r="A17" s="523">
        <v>5</v>
      </c>
      <c r="B17" s="524" t="s">
        <v>505</v>
      </c>
      <c r="C17" s="525">
        <v>16453</v>
      </c>
      <c r="D17" s="525">
        <v>200</v>
      </c>
      <c r="E17" s="525"/>
      <c r="F17" s="525">
        <v>200</v>
      </c>
      <c r="G17" s="525">
        <f t="shared" si="1"/>
        <v>0</v>
      </c>
      <c r="H17" s="525">
        <v>1159</v>
      </c>
      <c r="I17" s="525"/>
      <c r="J17" s="525">
        <v>12051</v>
      </c>
      <c r="K17" s="525">
        <f t="shared" si="2"/>
        <v>-10892</v>
      </c>
      <c r="L17" s="525">
        <f t="shared" si="3"/>
        <v>5561</v>
      </c>
      <c r="N17" s="526"/>
      <c r="O17" s="526"/>
    </row>
    <row r="18" spans="1:15" s="528" customFormat="1">
      <c r="A18" s="523">
        <v>6</v>
      </c>
      <c r="B18" s="527" t="s">
        <v>506</v>
      </c>
      <c r="C18" s="525">
        <v>385.2</v>
      </c>
      <c r="D18" s="525">
        <v>451</v>
      </c>
      <c r="E18" s="525"/>
      <c r="F18" s="525">
        <v>425</v>
      </c>
      <c r="G18" s="525">
        <f t="shared" si="1"/>
        <v>26</v>
      </c>
      <c r="H18" s="525">
        <v>693.5</v>
      </c>
      <c r="I18" s="525"/>
      <c r="J18" s="525">
        <v>428</v>
      </c>
      <c r="K18" s="525">
        <f t="shared" si="2"/>
        <v>265.5</v>
      </c>
      <c r="L18" s="525">
        <f t="shared" si="3"/>
        <v>650.70000000000005</v>
      </c>
      <c r="N18" s="526"/>
      <c r="O18" s="526"/>
    </row>
    <row r="19" spans="1:15" s="528" customFormat="1">
      <c r="A19" s="523">
        <v>7</v>
      </c>
      <c r="B19" s="527" t="s">
        <v>507</v>
      </c>
      <c r="C19" s="525">
        <v>223</v>
      </c>
      <c r="D19" s="525">
        <v>500</v>
      </c>
      <c r="E19" s="525"/>
      <c r="F19" s="525">
        <v>521</v>
      </c>
      <c r="G19" s="525">
        <f t="shared" si="1"/>
        <v>-21</v>
      </c>
      <c r="H19" s="525">
        <v>134</v>
      </c>
      <c r="I19" s="525"/>
      <c r="J19" s="525">
        <v>223</v>
      </c>
      <c r="K19" s="525">
        <f t="shared" si="2"/>
        <v>-89</v>
      </c>
      <c r="L19" s="525">
        <f t="shared" si="3"/>
        <v>134</v>
      </c>
      <c r="N19" s="526"/>
      <c r="O19" s="526"/>
    </row>
    <row r="20" spans="1:15" s="528" customFormat="1">
      <c r="A20" s="523">
        <v>8</v>
      </c>
      <c r="B20" s="527" t="s">
        <v>499</v>
      </c>
      <c r="C20" s="525">
        <v>11</v>
      </c>
      <c r="D20" s="525">
        <v>14500</v>
      </c>
      <c r="E20" s="525">
        <v>14500</v>
      </c>
      <c r="F20" s="525">
        <v>14500</v>
      </c>
      <c r="G20" s="525">
        <f t="shared" si="1"/>
        <v>0</v>
      </c>
      <c r="H20" s="525">
        <v>11703</v>
      </c>
      <c r="I20" s="525">
        <v>11703</v>
      </c>
      <c r="J20" s="525">
        <v>10414</v>
      </c>
      <c r="K20" s="525">
        <f t="shared" si="2"/>
        <v>1289</v>
      </c>
      <c r="L20" s="525">
        <f t="shared" si="3"/>
        <v>1300</v>
      </c>
      <c r="M20" s="529"/>
      <c r="N20" s="530"/>
      <c r="O20" s="530"/>
    </row>
    <row r="21" spans="1:15" s="528" customFormat="1">
      <c r="A21" s="523">
        <v>9</v>
      </c>
      <c r="B21" s="524" t="s">
        <v>508</v>
      </c>
      <c r="C21" s="525">
        <v>522.70000000000005</v>
      </c>
      <c r="D21" s="525">
        <v>500</v>
      </c>
      <c r="E21" s="525">
        <v>0</v>
      </c>
      <c r="F21" s="525">
        <v>500</v>
      </c>
      <c r="G21" s="525">
        <f t="shared" si="1"/>
        <v>0</v>
      </c>
      <c r="H21" s="525">
        <v>531.6</v>
      </c>
      <c r="I21" s="525">
        <v>0</v>
      </c>
      <c r="J21" s="525">
        <v>446.6</v>
      </c>
      <c r="K21" s="525">
        <f t="shared" si="2"/>
        <v>85</v>
      </c>
      <c r="L21" s="525">
        <f t="shared" si="3"/>
        <v>607.70000000000016</v>
      </c>
      <c r="N21" s="526"/>
      <c r="O21" s="526"/>
    </row>
    <row r="22" spans="1:15" s="528" customFormat="1">
      <c r="A22" s="523">
        <v>10</v>
      </c>
      <c r="B22" s="527" t="s">
        <v>509</v>
      </c>
      <c r="C22" s="525">
        <v>7196.876045</v>
      </c>
      <c r="D22" s="525">
        <v>5283</v>
      </c>
      <c r="E22" s="525"/>
      <c r="F22" s="525">
        <v>0</v>
      </c>
      <c r="G22" s="525">
        <f t="shared" si="1"/>
        <v>5283</v>
      </c>
      <c r="H22" s="525">
        <v>2288</v>
      </c>
      <c r="I22" s="525"/>
      <c r="J22" s="525">
        <v>6090</v>
      </c>
      <c r="K22" s="525">
        <f t="shared" si="2"/>
        <v>-3802</v>
      </c>
      <c r="L22" s="525">
        <f t="shared" si="3"/>
        <v>3394.8760450000009</v>
      </c>
      <c r="N22" s="526"/>
      <c r="O22" s="526"/>
    </row>
    <row r="23" spans="1:15" s="528" customFormat="1">
      <c r="A23" s="523">
        <v>11</v>
      </c>
      <c r="B23" s="524" t="s">
        <v>510</v>
      </c>
      <c r="C23" s="525">
        <v>498</v>
      </c>
      <c r="D23" s="525">
        <v>120</v>
      </c>
      <c r="E23" s="525"/>
      <c r="F23" s="525">
        <v>150</v>
      </c>
      <c r="G23" s="525">
        <f t="shared" si="1"/>
        <v>-30</v>
      </c>
      <c r="H23" s="525">
        <v>818</v>
      </c>
      <c r="I23" s="525"/>
      <c r="J23" s="525">
        <v>445</v>
      </c>
      <c r="K23" s="525">
        <f t="shared" si="2"/>
        <v>373</v>
      </c>
      <c r="L23" s="525">
        <f t="shared" si="3"/>
        <v>871</v>
      </c>
      <c r="N23" s="526"/>
      <c r="O23" s="526"/>
    </row>
    <row r="24" spans="1:15" s="528" customFormat="1">
      <c r="A24" s="523">
        <v>12</v>
      </c>
      <c r="B24" s="527" t="s">
        <v>511</v>
      </c>
      <c r="C24" s="525">
        <v>14</v>
      </c>
      <c r="D24" s="525">
        <v>5</v>
      </c>
      <c r="E24" s="525"/>
      <c r="F24" s="525"/>
      <c r="G24" s="525">
        <f t="shared" si="1"/>
        <v>5</v>
      </c>
      <c r="H24" s="525">
        <v>5</v>
      </c>
      <c r="I24" s="525"/>
      <c r="J24" s="525">
        <v>19</v>
      </c>
      <c r="K24" s="525">
        <f t="shared" si="2"/>
        <v>-14</v>
      </c>
      <c r="L24" s="525">
        <f t="shared" si="3"/>
        <v>0</v>
      </c>
      <c r="N24" s="526"/>
      <c r="O24" s="526"/>
    </row>
    <row r="25" spans="1:15">
      <c r="A25" s="523">
        <v>13</v>
      </c>
      <c r="B25" s="527" t="s">
        <v>512</v>
      </c>
      <c r="C25" s="531">
        <v>166</v>
      </c>
      <c r="D25" s="531"/>
      <c r="E25" s="525"/>
      <c r="F25" s="531"/>
      <c r="G25" s="525">
        <f t="shared" si="1"/>
        <v>0</v>
      </c>
      <c r="H25" s="531"/>
      <c r="I25" s="531"/>
      <c r="J25" s="531">
        <v>10</v>
      </c>
      <c r="K25" s="525">
        <f t="shared" si="2"/>
        <v>-10</v>
      </c>
      <c r="L25" s="525">
        <f t="shared" si="3"/>
        <v>156</v>
      </c>
      <c r="N25" s="526"/>
      <c r="O25" s="526"/>
    </row>
    <row r="26" spans="1:15">
      <c r="A26" s="523">
        <v>14</v>
      </c>
      <c r="B26" s="524" t="s">
        <v>513</v>
      </c>
      <c r="C26" s="531">
        <v>1361</v>
      </c>
      <c r="D26" s="531">
        <v>118</v>
      </c>
      <c r="E26" s="525"/>
      <c r="F26" s="531">
        <v>101</v>
      </c>
      <c r="G26" s="525">
        <v>50</v>
      </c>
      <c r="H26" s="531">
        <v>59</v>
      </c>
      <c r="I26" s="531"/>
      <c r="J26" s="531">
        <v>0.92400000000000004</v>
      </c>
      <c r="K26" s="525">
        <v>58.076000000000001</v>
      </c>
      <c r="L26" s="525">
        <v>1419.076</v>
      </c>
      <c r="N26" s="526"/>
      <c r="O26" s="526"/>
    </row>
    <row r="27" spans="1:15">
      <c r="A27" s="523">
        <v>15</v>
      </c>
      <c r="B27" s="524" t="s">
        <v>514</v>
      </c>
      <c r="C27" s="531"/>
      <c r="D27" s="531">
        <v>12350</v>
      </c>
      <c r="E27" s="531">
        <v>4000</v>
      </c>
      <c r="F27" s="531">
        <v>12350</v>
      </c>
      <c r="G27" s="525">
        <f t="shared" si="1"/>
        <v>0</v>
      </c>
      <c r="H27" s="531">
        <v>1000</v>
      </c>
      <c r="I27" s="531">
        <v>1000</v>
      </c>
      <c r="J27" s="531">
        <v>1000</v>
      </c>
      <c r="K27" s="525">
        <f t="shared" si="2"/>
        <v>0</v>
      </c>
      <c r="L27" s="525">
        <f t="shared" si="3"/>
        <v>0</v>
      </c>
      <c r="N27" s="526"/>
      <c r="O27" s="526"/>
    </row>
    <row r="28" spans="1:15">
      <c r="A28" s="523">
        <v>16</v>
      </c>
      <c r="B28" s="527" t="s">
        <v>515</v>
      </c>
      <c r="C28" s="531">
        <v>2921</v>
      </c>
      <c r="D28" s="531">
        <v>15500</v>
      </c>
      <c r="E28" s="531">
        <v>14000</v>
      </c>
      <c r="F28" s="531">
        <v>16719</v>
      </c>
      <c r="G28" s="525">
        <f t="shared" si="1"/>
        <v>-1219</v>
      </c>
      <c r="H28" s="531">
        <v>1290</v>
      </c>
      <c r="I28" s="531">
        <v>0</v>
      </c>
      <c r="J28" s="531">
        <v>658</v>
      </c>
      <c r="K28" s="525">
        <f t="shared" si="2"/>
        <v>632</v>
      </c>
      <c r="L28" s="525">
        <f t="shared" si="3"/>
        <v>3553</v>
      </c>
      <c r="N28" s="526"/>
      <c r="O28" s="526"/>
    </row>
    <row r="29" spans="1:15">
      <c r="A29" s="532">
        <v>17</v>
      </c>
      <c r="B29" s="533" t="s">
        <v>516</v>
      </c>
      <c r="C29" s="534">
        <v>2900</v>
      </c>
      <c r="D29" s="534">
        <v>500</v>
      </c>
      <c r="E29" s="534">
        <v>500</v>
      </c>
      <c r="F29" s="534">
        <v>500</v>
      </c>
      <c r="G29" s="535">
        <f t="shared" si="1"/>
        <v>0</v>
      </c>
      <c r="H29" s="534">
        <v>0</v>
      </c>
      <c r="I29" s="534">
        <v>0</v>
      </c>
      <c r="J29" s="534">
        <v>0</v>
      </c>
      <c r="K29" s="535">
        <f t="shared" si="2"/>
        <v>0</v>
      </c>
      <c r="L29" s="535">
        <f t="shared" si="3"/>
        <v>2900</v>
      </c>
      <c r="N29" s="526"/>
      <c r="O29" s="526"/>
    </row>
    <row r="32" spans="1:15">
      <c r="C32" s="536"/>
      <c r="D32" s="536"/>
      <c r="E32" s="536"/>
      <c r="F32" s="536"/>
      <c r="G32" s="536"/>
      <c r="H32" s="536"/>
      <c r="I32" s="536"/>
      <c r="J32" s="536"/>
      <c r="K32" s="536"/>
      <c r="L32" s="536"/>
    </row>
  </sheetData>
  <mergeCells count="20">
    <mergeCell ref="F8:F10"/>
    <mergeCell ref="G8:G10"/>
    <mergeCell ref="H8:I8"/>
    <mergeCell ref="J8:J10"/>
    <mergeCell ref="A2:L2"/>
    <mergeCell ref="A3:L3"/>
    <mergeCell ref="A4:L4"/>
    <mergeCell ref="A5:C5"/>
    <mergeCell ref="A7:A10"/>
    <mergeCell ref="B7:B10"/>
    <mergeCell ref="C7:C10"/>
    <mergeCell ref="D7:G7"/>
    <mergeCell ref="H7:K7"/>
    <mergeCell ref="L7:L10"/>
    <mergeCell ref="K8:K10"/>
    <mergeCell ref="D9:D10"/>
    <mergeCell ref="E9:E10"/>
    <mergeCell ref="H9:H10"/>
    <mergeCell ref="I9:I10"/>
    <mergeCell ref="D8:E8"/>
  </mergeCells>
  <pageMargins left="0.7" right="0.7" top="0.75" bottom="0.75" header="0.3" footer="0.3"/>
  <pageSetup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showZeros="0" zoomScaleNormal="100" workbookViewId="0">
      <pane ySplit="7" topLeftCell="A8" activePane="bottomLeft" state="frozen"/>
      <selection activeCell="D7" sqref="D7:D8"/>
      <selection pane="bottomLeft" activeCell="B145" sqref="B145"/>
    </sheetView>
  </sheetViews>
  <sheetFormatPr defaultColWidth="9.28515625" defaultRowHeight="15.75" outlineLevelRow="1"/>
  <cols>
    <col min="1" max="1" width="5.28515625" style="5" customWidth="1"/>
    <col min="2" max="2" width="36.5703125" style="5" customWidth="1"/>
    <col min="3" max="3" width="15.5703125" style="5" customWidth="1"/>
    <col min="4" max="4" width="14.28515625" style="5" customWidth="1"/>
    <col min="5" max="5" width="13.5703125" style="5" customWidth="1"/>
    <col min="6" max="6" width="9.28515625" style="5" customWidth="1"/>
    <col min="7" max="16384" width="9.28515625" style="5"/>
  </cols>
  <sheetData>
    <row r="1" spans="1:6">
      <c r="A1" s="670" t="s">
        <v>356</v>
      </c>
      <c r="B1" s="670"/>
      <c r="C1" s="670"/>
      <c r="D1" s="670"/>
      <c r="E1" s="670"/>
    </row>
    <row r="2" spans="1:6">
      <c r="A2" s="671" t="s">
        <v>652</v>
      </c>
      <c r="B2" s="671"/>
      <c r="C2" s="671"/>
      <c r="D2" s="671"/>
      <c r="E2" s="671"/>
    </row>
    <row r="3" spans="1:6">
      <c r="A3" s="671" t="s">
        <v>357</v>
      </c>
      <c r="B3" s="671"/>
      <c r="C3" s="671"/>
      <c r="D3" s="671"/>
      <c r="E3" s="671"/>
    </row>
    <row r="4" spans="1:6" ht="33.75" customHeight="1">
      <c r="A4" s="672" t="s">
        <v>641</v>
      </c>
      <c r="B4" s="672"/>
      <c r="C4" s="672"/>
      <c r="D4" s="672"/>
      <c r="E4" s="672"/>
    </row>
    <row r="5" spans="1:6" ht="4.5" customHeight="1">
      <c r="A5" s="673"/>
      <c r="B5" s="673"/>
      <c r="C5" s="673"/>
      <c r="D5" s="673"/>
      <c r="E5" s="217"/>
    </row>
    <row r="6" spans="1:6" ht="18.75">
      <c r="B6" s="144"/>
      <c r="D6" s="218"/>
      <c r="E6" s="219" t="s">
        <v>62</v>
      </c>
    </row>
    <row r="7" spans="1:6" ht="25.5">
      <c r="A7" s="216" t="s">
        <v>16</v>
      </c>
      <c r="B7" s="216" t="s">
        <v>63</v>
      </c>
      <c r="C7" s="216" t="s">
        <v>653</v>
      </c>
      <c r="D7" s="216" t="s">
        <v>654</v>
      </c>
      <c r="E7" s="216" t="s">
        <v>64</v>
      </c>
    </row>
    <row r="8" spans="1:6">
      <c r="A8" s="220" t="s">
        <v>23</v>
      </c>
      <c r="B8" s="220" t="s">
        <v>24</v>
      </c>
      <c r="C8" s="220">
        <v>1</v>
      </c>
      <c r="D8" s="220">
        <v>2</v>
      </c>
      <c r="E8" s="220" t="s">
        <v>111</v>
      </c>
    </row>
    <row r="9" spans="1:6">
      <c r="A9" s="153"/>
      <c r="B9" s="158" t="s">
        <v>155</v>
      </c>
      <c r="C9" s="165">
        <f>C10+C101</f>
        <v>626394.32549200009</v>
      </c>
      <c r="D9" s="165">
        <f>D10+D101</f>
        <v>664749.36021700001</v>
      </c>
      <c r="E9" s="165">
        <f>D9/C9*100</f>
        <v>106.12314530385856</v>
      </c>
    </row>
    <row r="10" spans="1:6">
      <c r="A10" s="157" t="s">
        <v>28</v>
      </c>
      <c r="B10" s="158" t="s">
        <v>578</v>
      </c>
      <c r="C10" s="165">
        <f>C11+C46+C47+C65+C71+C72+C74+C95+C99</f>
        <v>599138.67249200004</v>
      </c>
      <c r="D10" s="165">
        <f>D11+D46+D47+D65+D71+D72+D74+D95+D99</f>
        <v>639705.41621699999</v>
      </c>
      <c r="E10" s="165">
        <f>D10/C10*100</f>
        <v>106.77084381087781</v>
      </c>
    </row>
    <row r="11" spans="1:6">
      <c r="A11" s="153">
        <v>1</v>
      </c>
      <c r="B11" s="155" t="s">
        <v>358</v>
      </c>
      <c r="C11" s="221">
        <f>C12+C44+C45</f>
        <v>56260.7</v>
      </c>
      <c r="D11" s="221">
        <f>D12+D44+D45</f>
        <v>44854.152900000001</v>
      </c>
      <c r="E11" s="162">
        <f>D11/C11*100</f>
        <v>79.725550695245531</v>
      </c>
    </row>
    <row r="12" spans="1:6" ht="15.75" hidden="1" customHeight="1" outlineLevel="1">
      <c r="A12" s="153" t="s">
        <v>185</v>
      </c>
      <c r="B12" s="154" t="s">
        <v>226</v>
      </c>
      <c r="C12" s="162">
        <f>C13</f>
        <v>35635</v>
      </c>
      <c r="D12" s="162">
        <f>D13</f>
        <v>24228.4529</v>
      </c>
      <c r="E12" s="162">
        <f t="shared" ref="E12:E98" si="0">D12/C12*100</f>
        <v>67.990607268135264</v>
      </c>
      <c r="F12" s="669"/>
    </row>
    <row r="13" spans="1:6" ht="15.75" hidden="1" customHeight="1" outlineLevel="1">
      <c r="A13" s="236" t="s">
        <v>30</v>
      </c>
      <c r="B13" s="237" t="s">
        <v>221</v>
      </c>
      <c r="C13" s="222">
        <f>SUM(C14:C43)</f>
        <v>35635</v>
      </c>
      <c r="D13" s="222">
        <f>SUM(D14:D43)</f>
        <v>24228.4529</v>
      </c>
      <c r="E13" s="162">
        <f>D13/C13*100</f>
        <v>67.990607268135264</v>
      </c>
      <c r="F13" s="669"/>
    </row>
    <row r="14" spans="1:6" ht="15.75" hidden="1" customHeight="1" outlineLevel="1">
      <c r="A14" s="238" t="s">
        <v>188</v>
      </c>
      <c r="B14" s="239" t="s">
        <v>795</v>
      </c>
      <c r="C14" s="222">
        <v>120</v>
      </c>
      <c r="D14" s="222">
        <v>95.194000000000003</v>
      </c>
      <c r="E14" s="162">
        <f t="shared" ref="E14:E30" si="1">D14/C14*100</f>
        <v>79.328333333333333</v>
      </c>
      <c r="F14" s="669"/>
    </row>
    <row r="15" spans="1:6" ht="15.75" hidden="1" customHeight="1" outlineLevel="1">
      <c r="A15" s="238" t="s">
        <v>188</v>
      </c>
      <c r="B15" s="239" t="s">
        <v>796</v>
      </c>
      <c r="C15" s="222">
        <v>70</v>
      </c>
      <c r="D15" s="222">
        <v>72.320000000000007</v>
      </c>
      <c r="E15" s="162">
        <f t="shared" si="1"/>
        <v>103.31428571428572</v>
      </c>
      <c r="F15" s="669"/>
    </row>
    <row r="16" spans="1:6" ht="15.75" hidden="1" customHeight="1" outlineLevel="1">
      <c r="A16" s="238" t="s">
        <v>188</v>
      </c>
      <c r="B16" s="239" t="s">
        <v>797</v>
      </c>
      <c r="C16" s="222">
        <v>100</v>
      </c>
      <c r="D16" s="222">
        <v>78.3</v>
      </c>
      <c r="E16" s="162">
        <f t="shared" si="1"/>
        <v>78.3</v>
      </c>
      <c r="F16" s="669"/>
    </row>
    <row r="17" spans="1:6" ht="15.75" hidden="1" customHeight="1" outlineLevel="1">
      <c r="A17" s="238" t="s">
        <v>188</v>
      </c>
      <c r="B17" s="239" t="s">
        <v>798</v>
      </c>
      <c r="C17" s="222">
        <v>100</v>
      </c>
      <c r="D17" s="222">
        <v>87.765000000000001</v>
      </c>
      <c r="E17" s="162">
        <f t="shared" si="1"/>
        <v>87.765000000000001</v>
      </c>
      <c r="F17" s="669"/>
    </row>
    <row r="18" spans="1:6" ht="15.75" hidden="1" customHeight="1" outlineLevel="1">
      <c r="A18" s="238" t="s">
        <v>188</v>
      </c>
      <c r="B18" s="239" t="s">
        <v>799</v>
      </c>
      <c r="C18" s="222">
        <v>90</v>
      </c>
      <c r="D18" s="222">
        <v>87.984999999999999</v>
      </c>
      <c r="E18" s="162">
        <f t="shared" si="1"/>
        <v>97.761111111111106</v>
      </c>
      <c r="F18" s="669"/>
    </row>
    <row r="19" spans="1:6" ht="15.75" hidden="1" customHeight="1" outlineLevel="1">
      <c r="A19" s="238" t="s">
        <v>188</v>
      </c>
      <c r="B19" s="239" t="s">
        <v>800</v>
      </c>
      <c r="C19" s="222">
        <v>80</v>
      </c>
      <c r="D19" s="222">
        <v>76.582499999999996</v>
      </c>
      <c r="E19" s="162">
        <f t="shared" si="1"/>
        <v>95.728124999999991</v>
      </c>
      <c r="F19" s="669"/>
    </row>
    <row r="20" spans="1:6" ht="15.75" hidden="1" customHeight="1" outlineLevel="1">
      <c r="A20" s="238" t="s">
        <v>188</v>
      </c>
      <c r="B20" s="239" t="s">
        <v>801</v>
      </c>
      <c r="C20" s="222">
        <v>80</v>
      </c>
      <c r="D20" s="222">
        <v>69.852000000000004</v>
      </c>
      <c r="E20" s="162">
        <f t="shared" si="1"/>
        <v>87.315000000000012</v>
      </c>
      <c r="F20" s="669"/>
    </row>
    <row r="21" spans="1:6" ht="15.75" hidden="1" customHeight="1" outlineLevel="1">
      <c r="A21" s="238" t="s">
        <v>188</v>
      </c>
      <c r="B21" s="239" t="s">
        <v>802</v>
      </c>
      <c r="C21" s="222">
        <v>555</v>
      </c>
      <c r="D21" s="222">
        <v>39.087499999999999</v>
      </c>
      <c r="E21" s="162">
        <f t="shared" si="1"/>
        <v>7.0427927927927927</v>
      </c>
      <c r="F21" s="669"/>
    </row>
    <row r="22" spans="1:6" ht="15.75" hidden="1" customHeight="1" outlineLevel="1">
      <c r="A22" s="238" t="s">
        <v>188</v>
      </c>
      <c r="B22" s="239" t="s">
        <v>803</v>
      </c>
      <c r="C22" s="222">
        <v>735</v>
      </c>
      <c r="D22" s="222">
        <v>382.608</v>
      </c>
      <c r="E22" s="162">
        <f t="shared" si="1"/>
        <v>52.055510204081635</v>
      </c>
      <c r="F22" s="669"/>
    </row>
    <row r="23" spans="1:6" ht="15.75" hidden="1" customHeight="1" outlineLevel="1">
      <c r="A23" s="238" t="s">
        <v>188</v>
      </c>
      <c r="B23" s="239" t="s">
        <v>804</v>
      </c>
      <c r="C23" s="222">
        <v>90</v>
      </c>
      <c r="D23" s="222">
        <v>44.88</v>
      </c>
      <c r="E23" s="162">
        <f t="shared" si="1"/>
        <v>49.866666666666667</v>
      </c>
      <c r="F23" s="669"/>
    </row>
    <row r="24" spans="1:6" ht="15.75" hidden="1" customHeight="1" outlineLevel="1">
      <c r="A24" s="238" t="s">
        <v>188</v>
      </c>
      <c r="B24" s="239" t="s">
        <v>805</v>
      </c>
      <c r="C24" s="222">
        <v>1240</v>
      </c>
      <c r="D24" s="222">
        <v>643.33950000000004</v>
      </c>
      <c r="E24" s="162">
        <f t="shared" si="1"/>
        <v>51.882217741935492</v>
      </c>
      <c r="F24" s="669"/>
    </row>
    <row r="25" spans="1:6" ht="15.75" hidden="1" customHeight="1" outlineLevel="1">
      <c r="A25" s="238" t="s">
        <v>188</v>
      </c>
      <c r="B25" s="239" t="s">
        <v>806</v>
      </c>
      <c r="C25" s="222">
        <v>50</v>
      </c>
      <c r="D25" s="222">
        <v>127.636</v>
      </c>
      <c r="E25" s="162">
        <f t="shared" si="1"/>
        <v>255.27199999999999</v>
      </c>
      <c r="F25" s="669"/>
    </row>
    <row r="26" spans="1:6" ht="15.75" hidden="1" customHeight="1" outlineLevel="1">
      <c r="A26" s="238" t="s">
        <v>188</v>
      </c>
      <c r="B26" s="239" t="s">
        <v>807</v>
      </c>
      <c r="C26" s="222">
        <v>360</v>
      </c>
      <c r="D26" s="222">
        <v>499.1071</v>
      </c>
      <c r="E26" s="162">
        <f t="shared" si="1"/>
        <v>138.64086111111112</v>
      </c>
      <c r="F26" s="669"/>
    </row>
    <row r="27" spans="1:6" ht="15.75" hidden="1" customHeight="1" outlineLevel="1">
      <c r="A27" s="238" t="s">
        <v>188</v>
      </c>
      <c r="B27" s="239" t="s">
        <v>808</v>
      </c>
      <c r="C27" s="222">
        <v>230</v>
      </c>
      <c r="D27" s="222">
        <v>231.4</v>
      </c>
      <c r="E27" s="162">
        <f t="shared" si="1"/>
        <v>100.60869565217392</v>
      </c>
      <c r="F27" s="669"/>
    </row>
    <row r="28" spans="1:6" ht="27.75" hidden="1" customHeight="1" outlineLevel="1">
      <c r="A28" s="238" t="s">
        <v>188</v>
      </c>
      <c r="B28" s="239" t="s">
        <v>809</v>
      </c>
      <c r="C28" s="222">
        <v>40</v>
      </c>
      <c r="D28" s="222">
        <v>38.851999999999997</v>
      </c>
      <c r="E28" s="162">
        <f t="shared" si="1"/>
        <v>97.13</v>
      </c>
      <c r="F28" s="669"/>
    </row>
    <row r="29" spans="1:6" ht="15.75" hidden="1" customHeight="1" outlineLevel="1">
      <c r="A29" s="238" t="s">
        <v>188</v>
      </c>
      <c r="B29" s="239" t="s">
        <v>810</v>
      </c>
      <c r="C29" s="222">
        <v>1975</v>
      </c>
      <c r="D29" s="222">
        <v>2009.6390000000001</v>
      </c>
      <c r="E29" s="162">
        <f t="shared" si="1"/>
        <v>101.75387341772154</v>
      </c>
      <c r="F29" s="669"/>
    </row>
    <row r="30" spans="1:6" ht="15.75" hidden="1" customHeight="1" outlineLevel="1">
      <c r="A30" s="238" t="s">
        <v>188</v>
      </c>
      <c r="B30" s="239" t="s">
        <v>811</v>
      </c>
      <c r="C30" s="222">
        <v>20</v>
      </c>
      <c r="D30" s="222">
        <v>0</v>
      </c>
      <c r="E30" s="162">
        <f t="shared" si="1"/>
        <v>0</v>
      </c>
      <c r="F30" s="669"/>
    </row>
    <row r="31" spans="1:6" ht="15.75" hidden="1" customHeight="1" outlineLevel="1">
      <c r="A31" s="238" t="s">
        <v>188</v>
      </c>
      <c r="B31" s="239" t="s">
        <v>813</v>
      </c>
      <c r="C31" s="222">
        <v>3450</v>
      </c>
      <c r="D31" s="222">
        <v>3391.58</v>
      </c>
      <c r="E31" s="162">
        <f t="shared" si="0"/>
        <v>98.306666666666658</v>
      </c>
      <c r="F31" s="669"/>
    </row>
    <row r="32" spans="1:6" ht="15.75" hidden="1" customHeight="1" outlineLevel="1">
      <c r="A32" s="238" t="s">
        <v>188</v>
      </c>
      <c r="B32" s="239" t="s">
        <v>814</v>
      </c>
      <c r="C32" s="222">
        <v>2650</v>
      </c>
      <c r="D32" s="222">
        <v>1272.3952999999999</v>
      </c>
      <c r="E32" s="162">
        <f t="shared" si="0"/>
        <v>48.014916981132075</v>
      </c>
      <c r="F32" s="669"/>
    </row>
    <row r="33" spans="1:6" ht="15.75" hidden="1" customHeight="1" outlineLevel="1">
      <c r="A33" s="238" t="s">
        <v>188</v>
      </c>
      <c r="B33" s="239" t="s">
        <v>815</v>
      </c>
      <c r="C33" s="222">
        <v>2830</v>
      </c>
      <c r="D33" s="222">
        <v>1114.0519999999999</v>
      </c>
      <c r="E33" s="162">
        <f t="shared" si="0"/>
        <v>39.365795053003531</v>
      </c>
      <c r="F33" s="669"/>
    </row>
    <row r="34" spans="1:6" ht="15.75" hidden="1" customHeight="1" outlineLevel="1">
      <c r="A34" s="238" t="s">
        <v>188</v>
      </c>
      <c r="B34" s="239" t="s">
        <v>816</v>
      </c>
      <c r="C34" s="222">
        <v>4720</v>
      </c>
      <c r="D34" s="222">
        <v>2877.5519999999997</v>
      </c>
      <c r="E34" s="162">
        <f t="shared" si="0"/>
        <v>60.965084745762709</v>
      </c>
      <c r="F34" s="669"/>
    </row>
    <row r="35" spans="1:6" ht="15.75" hidden="1" customHeight="1" outlineLevel="1">
      <c r="A35" s="238" t="s">
        <v>188</v>
      </c>
      <c r="B35" s="239" t="s">
        <v>817</v>
      </c>
      <c r="C35" s="222">
        <v>2200</v>
      </c>
      <c r="D35" s="222">
        <v>995.35199999999998</v>
      </c>
      <c r="E35" s="162">
        <f t="shared" si="0"/>
        <v>45.243272727272725</v>
      </c>
      <c r="F35" s="669"/>
    </row>
    <row r="36" spans="1:6" ht="15.75" hidden="1" customHeight="1" outlineLevel="1">
      <c r="A36" s="238" t="s">
        <v>188</v>
      </c>
      <c r="B36" s="239" t="s">
        <v>818</v>
      </c>
      <c r="C36" s="222">
        <v>1465</v>
      </c>
      <c r="D36" s="222">
        <v>1668.6690000000001</v>
      </c>
      <c r="E36" s="162">
        <f t="shared" si="0"/>
        <v>113.90232081911262</v>
      </c>
      <c r="F36" s="669"/>
    </row>
    <row r="37" spans="1:6" ht="15.75" hidden="1" customHeight="1" outlineLevel="1">
      <c r="A37" s="238" t="s">
        <v>188</v>
      </c>
      <c r="B37" s="239" t="s">
        <v>819</v>
      </c>
      <c r="C37" s="222">
        <v>2525</v>
      </c>
      <c r="D37" s="222">
        <v>453.33199999999999</v>
      </c>
      <c r="E37" s="162">
        <f t="shared" si="0"/>
        <v>17.953742574257426</v>
      </c>
      <c r="F37" s="669"/>
    </row>
    <row r="38" spans="1:6" ht="15.75" hidden="1" customHeight="1" outlineLevel="1">
      <c r="A38" s="238" t="s">
        <v>188</v>
      </c>
      <c r="B38" s="239" t="s">
        <v>820</v>
      </c>
      <c r="C38" s="222">
        <v>1415</v>
      </c>
      <c r="D38" s="222">
        <v>817.49199999999996</v>
      </c>
      <c r="E38" s="162">
        <f t="shared" si="0"/>
        <v>57.773286219081264</v>
      </c>
      <c r="F38" s="669"/>
    </row>
    <row r="39" spans="1:6" ht="15.75" hidden="1" customHeight="1" outlineLevel="1">
      <c r="A39" s="238" t="s">
        <v>188</v>
      </c>
      <c r="B39" s="239" t="s">
        <v>821</v>
      </c>
      <c r="C39" s="222">
        <v>2515</v>
      </c>
      <c r="D39" s="222">
        <v>1740.2302500000001</v>
      </c>
      <c r="E39" s="162">
        <f t="shared" si="0"/>
        <v>69.19404572564612</v>
      </c>
      <c r="F39" s="669"/>
    </row>
    <row r="40" spans="1:6" ht="15.75" hidden="1" customHeight="1" outlineLevel="1">
      <c r="A40" s="238" t="s">
        <v>188</v>
      </c>
      <c r="B40" s="239" t="s">
        <v>822</v>
      </c>
      <c r="C40" s="222">
        <v>1170</v>
      </c>
      <c r="D40" s="222">
        <v>1016.553</v>
      </c>
      <c r="E40" s="162">
        <f t="shared" si="0"/>
        <v>86.884871794871799</v>
      </c>
      <c r="F40" s="669"/>
    </row>
    <row r="41" spans="1:6" ht="15.75" hidden="1" customHeight="1" outlineLevel="1">
      <c r="A41" s="238" t="s">
        <v>188</v>
      </c>
      <c r="B41" s="239" t="s">
        <v>823</v>
      </c>
      <c r="C41" s="222">
        <v>1420</v>
      </c>
      <c r="D41" s="222">
        <v>1253.3987999999999</v>
      </c>
      <c r="E41" s="162">
        <f t="shared" si="0"/>
        <v>88.267521126760556</v>
      </c>
      <c r="F41" s="669"/>
    </row>
    <row r="42" spans="1:6" ht="24" hidden="1" customHeight="1" outlineLevel="1">
      <c r="A42" s="238" t="s">
        <v>188</v>
      </c>
      <c r="B42" s="239" t="s">
        <v>824</v>
      </c>
      <c r="C42" s="222">
        <v>1010</v>
      </c>
      <c r="D42" s="222">
        <v>673.43520999999998</v>
      </c>
      <c r="E42" s="162">
        <f t="shared" si="0"/>
        <v>66.676753465346522</v>
      </c>
      <c r="F42" s="669"/>
    </row>
    <row r="43" spans="1:6" ht="18.75" hidden="1" customHeight="1" outlineLevel="1">
      <c r="A43" s="238" t="s">
        <v>188</v>
      </c>
      <c r="B43" s="239" t="s">
        <v>825</v>
      </c>
      <c r="C43" s="222">
        <v>2330</v>
      </c>
      <c r="D43" s="222">
        <v>2369.8637400000002</v>
      </c>
      <c r="E43" s="162">
        <f t="shared" si="0"/>
        <v>101.71089012875538</v>
      </c>
      <c r="F43" s="669"/>
    </row>
    <row r="44" spans="1:6" ht="25.5" hidden="1" customHeight="1" outlineLevel="1">
      <c r="A44" s="240" t="s">
        <v>186</v>
      </c>
      <c r="B44" s="154" t="s">
        <v>622</v>
      </c>
      <c r="C44" s="163">
        <v>17186</v>
      </c>
      <c r="D44" s="164">
        <v>17186</v>
      </c>
      <c r="E44" s="162">
        <f t="shared" si="0"/>
        <v>100</v>
      </c>
      <c r="F44" s="669"/>
    </row>
    <row r="45" spans="1:6" ht="25.5" hidden="1" customHeight="1" outlineLevel="1">
      <c r="A45" s="240" t="s">
        <v>187</v>
      </c>
      <c r="B45" s="154" t="s">
        <v>623</v>
      </c>
      <c r="C45" s="164">
        <v>3439.7</v>
      </c>
      <c r="D45" s="164">
        <v>3439.7</v>
      </c>
      <c r="E45" s="162">
        <f t="shared" si="0"/>
        <v>100</v>
      </c>
    </row>
    <row r="46" spans="1:6" ht="28.5" customHeight="1" collapsed="1">
      <c r="A46" s="153">
        <v>2</v>
      </c>
      <c r="B46" s="155" t="s">
        <v>624</v>
      </c>
      <c r="C46" s="162">
        <v>1700</v>
      </c>
      <c r="D46" s="162">
        <v>2051</v>
      </c>
      <c r="E46" s="162">
        <f t="shared" si="0"/>
        <v>120.64705882352942</v>
      </c>
    </row>
    <row r="47" spans="1:6">
      <c r="A47" s="153">
        <v>3</v>
      </c>
      <c r="B47" s="155" t="s">
        <v>225</v>
      </c>
      <c r="C47" s="162">
        <f>SUM(C48:C64)</f>
        <v>408811</v>
      </c>
      <c r="D47" s="162">
        <f>SUM(D48:D64)</f>
        <v>417896.97075199994</v>
      </c>
      <c r="E47" s="162">
        <f t="shared" si="0"/>
        <v>102.2225357810822</v>
      </c>
    </row>
    <row r="48" spans="1:6" hidden="1">
      <c r="A48" s="236" t="s">
        <v>30</v>
      </c>
      <c r="B48" s="237" t="s">
        <v>847</v>
      </c>
      <c r="C48" s="222">
        <v>247500</v>
      </c>
      <c r="D48" s="222">
        <v>274745.33149100002</v>
      </c>
      <c r="E48" s="162">
        <f t="shared" si="0"/>
        <v>111.00821474383839</v>
      </c>
    </row>
    <row r="49" spans="1:5" ht="25.5" hidden="1">
      <c r="A49" s="236" t="s">
        <v>30</v>
      </c>
      <c r="B49" s="237" t="s">
        <v>812</v>
      </c>
      <c r="C49" s="222">
        <v>0</v>
      </c>
      <c r="D49" s="222">
        <v>4</v>
      </c>
      <c r="E49" s="162"/>
    </row>
    <row r="50" spans="1:5" hidden="1">
      <c r="A50" s="238" t="s">
        <v>30</v>
      </c>
      <c r="B50" s="239" t="s">
        <v>832</v>
      </c>
      <c r="C50" s="241">
        <v>30298</v>
      </c>
      <c r="D50" s="241">
        <v>24455.776271999999</v>
      </c>
      <c r="E50" s="162">
        <f t="shared" si="0"/>
        <v>80.717460796092141</v>
      </c>
    </row>
    <row r="51" spans="1:5" ht="25.5" hidden="1">
      <c r="A51" s="238" t="s">
        <v>30</v>
      </c>
      <c r="B51" s="239" t="s">
        <v>833</v>
      </c>
      <c r="C51" s="241">
        <v>12730</v>
      </c>
      <c r="D51" s="241">
        <v>9914.3754939999999</v>
      </c>
      <c r="E51" s="162">
        <f t="shared" si="0"/>
        <v>77.881975600942653</v>
      </c>
    </row>
    <row r="52" spans="1:5" hidden="1">
      <c r="A52" s="238" t="s">
        <v>30</v>
      </c>
      <c r="B52" s="239" t="s">
        <v>834</v>
      </c>
      <c r="C52" s="241">
        <v>1425</v>
      </c>
      <c r="D52" s="241">
        <v>8629.7509829999999</v>
      </c>
      <c r="E52" s="162">
        <f t="shared" si="0"/>
        <v>605.59656021052626</v>
      </c>
    </row>
    <row r="53" spans="1:5" hidden="1">
      <c r="A53" s="238" t="s">
        <v>30</v>
      </c>
      <c r="B53" s="239" t="s">
        <v>835</v>
      </c>
      <c r="C53" s="241">
        <v>1030</v>
      </c>
      <c r="D53" s="241">
        <v>3561.8823219999999</v>
      </c>
      <c r="E53" s="162">
        <f t="shared" si="0"/>
        <v>345.8138176699029</v>
      </c>
    </row>
    <row r="54" spans="1:5" hidden="1">
      <c r="A54" s="238" t="s">
        <v>30</v>
      </c>
      <c r="B54" s="239" t="s">
        <v>836</v>
      </c>
      <c r="C54" s="241">
        <v>0</v>
      </c>
      <c r="D54" s="241">
        <v>317.5</v>
      </c>
      <c r="E54" s="162"/>
    </row>
    <row r="55" spans="1:5" hidden="1">
      <c r="A55" s="238" t="s">
        <v>30</v>
      </c>
      <c r="B55" s="239" t="s">
        <v>837</v>
      </c>
      <c r="C55" s="241">
        <v>18000</v>
      </c>
      <c r="D55" s="241">
        <v>13484.953820000001</v>
      </c>
      <c r="E55" s="162">
        <f t="shared" si="0"/>
        <v>74.916410111111105</v>
      </c>
    </row>
    <row r="56" spans="1:5" hidden="1">
      <c r="A56" s="238" t="s">
        <v>30</v>
      </c>
      <c r="B56" s="239" t="s">
        <v>838</v>
      </c>
      <c r="C56" s="241">
        <v>16312</v>
      </c>
      <c r="D56" s="241">
        <v>12048.118192</v>
      </c>
      <c r="E56" s="162">
        <f t="shared" si="0"/>
        <v>73.860459735164298</v>
      </c>
    </row>
    <row r="57" spans="1:5" hidden="1">
      <c r="A57" s="238" t="s">
        <v>30</v>
      </c>
      <c r="B57" s="239" t="s">
        <v>839</v>
      </c>
      <c r="C57" s="241">
        <v>21655</v>
      </c>
      <c r="D57" s="241">
        <v>19153.881271999999</v>
      </c>
      <c r="E57" s="162">
        <f t="shared" si="0"/>
        <v>88.450155954744858</v>
      </c>
    </row>
    <row r="58" spans="1:5" hidden="1">
      <c r="A58" s="238" t="s">
        <v>30</v>
      </c>
      <c r="B58" s="239" t="s">
        <v>840</v>
      </c>
      <c r="C58" s="241">
        <v>9000</v>
      </c>
      <c r="D58" s="241">
        <v>4720.8090890000003</v>
      </c>
      <c r="E58" s="162">
        <f t="shared" si="0"/>
        <v>52.453434322222222</v>
      </c>
    </row>
    <row r="59" spans="1:5" hidden="1">
      <c r="A59" s="238" t="s">
        <v>30</v>
      </c>
      <c r="B59" s="239" t="s">
        <v>841</v>
      </c>
      <c r="C59" s="241">
        <v>12300</v>
      </c>
      <c r="D59" s="241">
        <v>11359.258433000001</v>
      </c>
      <c r="E59" s="162">
        <f t="shared" si="0"/>
        <v>92.351694577235776</v>
      </c>
    </row>
    <row r="60" spans="1:5" hidden="1">
      <c r="A60" s="238" t="s">
        <v>30</v>
      </c>
      <c r="B60" s="239" t="s">
        <v>842</v>
      </c>
      <c r="C60" s="241">
        <v>16245</v>
      </c>
      <c r="D60" s="241">
        <v>15504.705483</v>
      </c>
      <c r="E60" s="162">
        <f t="shared" si="0"/>
        <v>95.442939261311167</v>
      </c>
    </row>
    <row r="61" spans="1:5" hidden="1">
      <c r="A61" s="238" t="s">
        <v>30</v>
      </c>
      <c r="B61" s="239" t="s">
        <v>843</v>
      </c>
      <c r="C61" s="241">
        <v>11670</v>
      </c>
      <c r="D61" s="241">
        <v>8309.3179689999997</v>
      </c>
      <c r="E61" s="162">
        <f t="shared" si="0"/>
        <v>71.202381910882607</v>
      </c>
    </row>
    <row r="62" spans="1:5" hidden="1">
      <c r="A62" s="238" t="s">
        <v>30</v>
      </c>
      <c r="B62" s="239" t="s">
        <v>844</v>
      </c>
      <c r="C62" s="241">
        <v>3500</v>
      </c>
      <c r="D62" s="241">
        <v>3555.1290260000001</v>
      </c>
      <c r="E62" s="162">
        <f t="shared" si="0"/>
        <v>101.57511502857145</v>
      </c>
    </row>
    <row r="63" spans="1:5" hidden="1">
      <c r="A63" s="238" t="s">
        <v>30</v>
      </c>
      <c r="B63" s="239" t="s">
        <v>845</v>
      </c>
      <c r="C63" s="241">
        <v>2500</v>
      </c>
      <c r="D63" s="241">
        <v>2595.3479910000001</v>
      </c>
      <c r="E63" s="162">
        <f t="shared" si="0"/>
        <v>103.81391963999999</v>
      </c>
    </row>
    <row r="64" spans="1:5" hidden="1">
      <c r="A64" s="238" t="s">
        <v>30</v>
      </c>
      <c r="B64" s="239" t="s">
        <v>846</v>
      </c>
      <c r="C64" s="241">
        <v>4646</v>
      </c>
      <c r="D64" s="241">
        <v>5536.832915</v>
      </c>
      <c r="E64" s="162">
        <f t="shared" si="0"/>
        <v>119.17419102453724</v>
      </c>
    </row>
    <row r="65" spans="1:5">
      <c r="A65" s="153">
        <v>4</v>
      </c>
      <c r="B65" s="155" t="s">
        <v>361</v>
      </c>
      <c r="C65" s="163">
        <f>C66+C69+C70</f>
        <v>95</v>
      </c>
      <c r="D65" s="163">
        <f>D66+D69+D70</f>
        <v>214.31383199999999</v>
      </c>
      <c r="E65" s="162">
        <f t="shared" si="0"/>
        <v>225.59350736842103</v>
      </c>
    </row>
    <row r="66" spans="1:5" hidden="1" outlineLevel="1">
      <c r="A66" s="153" t="s">
        <v>30</v>
      </c>
      <c r="B66" s="155" t="s">
        <v>219</v>
      </c>
      <c r="C66" s="163">
        <f>C67+C68</f>
        <v>75</v>
      </c>
      <c r="D66" s="163">
        <f>D67+D68</f>
        <v>174.31383199999999</v>
      </c>
      <c r="E66" s="162">
        <f>D66/C66*100</f>
        <v>232.41844266666666</v>
      </c>
    </row>
    <row r="67" spans="1:5" hidden="1" outlineLevel="1">
      <c r="A67" s="236" t="s">
        <v>188</v>
      </c>
      <c r="B67" s="237" t="s">
        <v>793</v>
      </c>
      <c r="C67" s="242">
        <v>0</v>
      </c>
      <c r="D67" s="222">
        <v>17.313832000000001</v>
      </c>
      <c r="E67" s="243"/>
    </row>
    <row r="68" spans="1:5" hidden="1" outlineLevel="1">
      <c r="A68" s="236" t="s">
        <v>188</v>
      </c>
      <c r="B68" s="237" t="s">
        <v>794</v>
      </c>
      <c r="C68" s="244">
        <v>75</v>
      </c>
      <c r="D68" s="222">
        <v>157</v>
      </c>
      <c r="E68" s="162">
        <f t="shared" si="0"/>
        <v>209.33333333333331</v>
      </c>
    </row>
    <row r="69" spans="1:5" ht="31.5" hidden="1" customHeight="1" outlineLevel="1">
      <c r="A69" s="153" t="s">
        <v>30</v>
      </c>
      <c r="B69" s="155" t="s">
        <v>625</v>
      </c>
      <c r="C69" s="163">
        <v>20</v>
      </c>
      <c r="D69" s="162">
        <v>40</v>
      </c>
      <c r="E69" s="162">
        <f>D69/C69*100</f>
        <v>200</v>
      </c>
    </row>
    <row r="70" spans="1:5" hidden="1" outlineLevel="1">
      <c r="A70" s="153" t="s">
        <v>30</v>
      </c>
      <c r="B70" s="155" t="s">
        <v>579</v>
      </c>
      <c r="C70" s="163">
        <v>0</v>
      </c>
      <c r="D70" s="162"/>
      <c r="E70" s="162"/>
    </row>
    <row r="71" spans="1:5" collapsed="1">
      <c r="A71" s="153">
        <v>5</v>
      </c>
      <c r="B71" s="155" t="s">
        <v>362</v>
      </c>
      <c r="C71" s="162">
        <v>5725</v>
      </c>
      <c r="D71" s="162">
        <v>5962</v>
      </c>
      <c r="E71" s="162">
        <f t="shared" si="0"/>
        <v>104.13973799126637</v>
      </c>
    </row>
    <row r="72" spans="1:5" ht="29.25" customHeight="1">
      <c r="A72" s="153">
        <v>6</v>
      </c>
      <c r="B72" s="155" t="s">
        <v>626</v>
      </c>
      <c r="C72" s="163">
        <f>C73</f>
        <v>0</v>
      </c>
      <c r="D72" s="163">
        <f>D73</f>
        <v>2</v>
      </c>
      <c r="E72" s="162"/>
    </row>
    <row r="73" spans="1:5" ht="15" hidden="1" customHeight="1">
      <c r="A73" s="236" t="s">
        <v>30</v>
      </c>
      <c r="B73" s="237" t="s">
        <v>792</v>
      </c>
      <c r="C73" s="242">
        <v>0</v>
      </c>
      <c r="D73" s="222">
        <v>2</v>
      </c>
      <c r="E73" s="162"/>
    </row>
    <row r="74" spans="1:5">
      <c r="A74" s="153">
        <v>7</v>
      </c>
      <c r="B74" s="155" t="s">
        <v>224</v>
      </c>
      <c r="C74" s="162">
        <f>C75+C84+C85+C86+C87+C88+C89+C91+C94</f>
        <v>122306.972492</v>
      </c>
      <c r="D74" s="162">
        <f>D75+D84+D85+D86+D87+D88+D89+D91+D94</f>
        <v>159631.978733</v>
      </c>
      <c r="E74" s="162">
        <f t="shared" si="0"/>
        <v>130.51748030427405</v>
      </c>
    </row>
    <row r="75" spans="1:5" ht="25.5" hidden="1" customHeight="1" outlineLevel="1">
      <c r="A75" s="153" t="s">
        <v>30</v>
      </c>
      <c r="B75" s="155" t="s">
        <v>280</v>
      </c>
      <c r="C75" s="163">
        <f>SUM(C76:C83)</f>
        <v>91490.972492000001</v>
      </c>
      <c r="D75" s="163">
        <f>SUM(D76:D83)</f>
        <v>98128.978733000011</v>
      </c>
      <c r="E75" s="162">
        <f t="shared" si="0"/>
        <v>107.25536745341782</v>
      </c>
    </row>
    <row r="76" spans="1:5" ht="25.5" hidden="1" customHeight="1" outlineLevel="1">
      <c r="A76" s="236" t="s">
        <v>188</v>
      </c>
      <c r="B76" s="237" t="s">
        <v>827</v>
      </c>
      <c r="C76" s="244">
        <v>0</v>
      </c>
      <c r="D76" s="222">
        <v>2538</v>
      </c>
      <c r="E76" s="162"/>
    </row>
    <row r="77" spans="1:5" ht="16.5" hidden="1" customHeight="1" outlineLevel="1">
      <c r="A77" s="236" t="s">
        <v>188</v>
      </c>
      <c r="B77" s="239" t="s">
        <v>290</v>
      </c>
      <c r="C77" s="245">
        <v>24388.199492</v>
      </c>
      <c r="D77" s="245">
        <v>12744.610424000002</v>
      </c>
      <c r="E77" s="162">
        <f t="shared" si="0"/>
        <v>52.257282987129017</v>
      </c>
    </row>
    <row r="78" spans="1:5" ht="19.5" hidden="1" customHeight="1" outlineLevel="1">
      <c r="A78" s="236" t="s">
        <v>188</v>
      </c>
      <c r="B78" s="239" t="s">
        <v>291</v>
      </c>
      <c r="C78" s="246">
        <v>11829.246999999999</v>
      </c>
      <c r="D78" s="246">
        <v>18179.400590000001</v>
      </c>
      <c r="E78" s="162">
        <f t="shared" si="0"/>
        <v>153.68180738807806</v>
      </c>
    </row>
    <row r="79" spans="1:5" ht="18" hidden="1" customHeight="1" outlineLevel="1">
      <c r="A79" s="236" t="s">
        <v>188</v>
      </c>
      <c r="B79" s="239" t="s">
        <v>828</v>
      </c>
      <c r="C79" s="246">
        <v>14262</v>
      </c>
      <c r="D79" s="246">
        <v>11272.426208000001</v>
      </c>
      <c r="E79" s="162">
        <f t="shared" si="0"/>
        <v>79.038186846164635</v>
      </c>
    </row>
    <row r="80" spans="1:5" ht="25.5" hidden="1" customHeight="1" outlineLevel="1">
      <c r="A80" s="236" t="s">
        <v>188</v>
      </c>
      <c r="B80" s="239" t="s">
        <v>829</v>
      </c>
      <c r="C80" s="246">
        <v>15046.138000000001</v>
      </c>
      <c r="D80" s="246">
        <v>18719.289053</v>
      </c>
      <c r="E80" s="162">
        <f t="shared" si="0"/>
        <v>124.41258383380504</v>
      </c>
    </row>
    <row r="81" spans="1:7" ht="16.5" hidden="1" customHeight="1" outlineLevel="1">
      <c r="A81" s="236" t="s">
        <v>188</v>
      </c>
      <c r="B81" s="239" t="s">
        <v>830</v>
      </c>
      <c r="C81" s="246">
        <v>10030.700000000001</v>
      </c>
      <c r="D81" s="246">
        <v>12692.461873999999</v>
      </c>
      <c r="E81" s="162">
        <f t="shared" si="0"/>
        <v>126.53615275105423</v>
      </c>
    </row>
    <row r="82" spans="1:7" ht="21" hidden="1" customHeight="1" outlineLevel="1">
      <c r="A82" s="236" t="s">
        <v>188</v>
      </c>
      <c r="B82" s="239" t="s">
        <v>831</v>
      </c>
      <c r="C82" s="246">
        <v>15470.987999999999</v>
      </c>
      <c r="D82" s="246">
        <v>21465.090583999998</v>
      </c>
      <c r="E82" s="162">
        <f t="shared" si="0"/>
        <v>138.74414862192381</v>
      </c>
    </row>
    <row r="83" spans="1:7" ht="19.5" hidden="1" customHeight="1" outlineLevel="1">
      <c r="A83" s="236" t="s">
        <v>188</v>
      </c>
      <c r="B83" s="239" t="s">
        <v>292</v>
      </c>
      <c r="C83" s="246">
        <v>463.7</v>
      </c>
      <c r="D83" s="246">
        <v>517.70000000000005</v>
      </c>
      <c r="E83" s="162">
        <f t="shared" si="0"/>
        <v>111.64546042700023</v>
      </c>
    </row>
    <row r="84" spans="1:7" ht="15.75" hidden="1" customHeight="1" outlineLevel="1">
      <c r="A84" s="156" t="s">
        <v>30</v>
      </c>
      <c r="B84" s="155" t="s">
        <v>264</v>
      </c>
      <c r="C84" s="163">
        <v>0</v>
      </c>
      <c r="D84" s="162">
        <v>934</v>
      </c>
      <c r="E84" s="162"/>
    </row>
    <row r="85" spans="1:7" ht="15.75" hidden="1" customHeight="1" outlineLevel="1">
      <c r="A85" s="156" t="s">
        <v>30</v>
      </c>
      <c r="B85" s="155" t="s">
        <v>580</v>
      </c>
      <c r="C85" s="163">
        <v>0</v>
      </c>
      <c r="D85" s="163">
        <v>452</v>
      </c>
      <c r="E85" s="162"/>
    </row>
    <row r="86" spans="1:7" ht="15.75" hidden="1" customHeight="1" outlineLevel="1">
      <c r="A86" s="156" t="s">
        <v>30</v>
      </c>
      <c r="B86" s="155" t="s">
        <v>627</v>
      </c>
      <c r="C86" s="162">
        <v>8293</v>
      </c>
      <c r="D86" s="162">
        <v>8293</v>
      </c>
      <c r="E86" s="162">
        <f t="shared" si="0"/>
        <v>100</v>
      </c>
    </row>
    <row r="87" spans="1:7" ht="15.75" hidden="1" customHeight="1" outlineLevel="1">
      <c r="A87" s="156" t="s">
        <v>30</v>
      </c>
      <c r="B87" s="247" t="s">
        <v>628</v>
      </c>
      <c r="C87" s="163">
        <v>2000</v>
      </c>
      <c r="D87" s="248">
        <v>1493</v>
      </c>
      <c r="E87" s="162">
        <f t="shared" si="0"/>
        <v>74.650000000000006</v>
      </c>
    </row>
    <row r="88" spans="1:7" ht="15.75" hidden="1" customHeight="1" outlineLevel="1">
      <c r="A88" s="156" t="s">
        <v>30</v>
      </c>
      <c r="B88" s="247" t="s">
        <v>629</v>
      </c>
      <c r="C88" s="162">
        <v>4136</v>
      </c>
      <c r="D88" s="248">
        <v>4136</v>
      </c>
      <c r="E88" s="162">
        <f>D88/C88*100</f>
        <v>100</v>
      </c>
    </row>
    <row r="89" spans="1:7" ht="15.75" hidden="1" customHeight="1" outlineLevel="1">
      <c r="A89" s="153" t="s">
        <v>30</v>
      </c>
      <c r="B89" s="155" t="s">
        <v>581</v>
      </c>
      <c r="C89" s="162">
        <f>C90</f>
        <v>4300</v>
      </c>
      <c r="D89" s="162">
        <f>D90</f>
        <v>4435</v>
      </c>
      <c r="E89" s="162">
        <f t="shared" si="0"/>
        <v>103.13953488372094</v>
      </c>
    </row>
    <row r="90" spans="1:7" ht="25.5" hidden="1" outlineLevel="1">
      <c r="A90" s="156" t="s">
        <v>188</v>
      </c>
      <c r="B90" s="155" t="s">
        <v>630</v>
      </c>
      <c r="C90" s="162">
        <v>4300</v>
      </c>
      <c r="D90" s="162">
        <v>4435</v>
      </c>
      <c r="E90" s="162">
        <f t="shared" si="0"/>
        <v>103.13953488372094</v>
      </c>
    </row>
    <row r="91" spans="1:7" ht="15.75" hidden="1" customHeight="1" outlineLevel="1">
      <c r="A91" s="153" t="s">
        <v>30</v>
      </c>
      <c r="B91" s="155" t="s">
        <v>582</v>
      </c>
      <c r="C91" s="163">
        <f>C92+C93</f>
        <v>4087</v>
      </c>
      <c r="D91" s="162">
        <f>D92+D93</f>
        <v>27330</v>
      </c>
      <c r="E91" s="162">
        <f t="shared" si="0"/>
        <v>668.70565206753122</v>
      </c>
    </row>
    <row r="92" spans="1:7" hidden="1" outlineLevel="1">
      <c r="A92" s="156" t="s">
        <v>188</v>
      </c>
      <c r="B92" s="155" t="s">
        <v>583</v>
      </c>
      <c r="C92" s="162">
        <v>4087</v>
      </c>
      <c r="D92" s="162">
        <v>27330</v>
      </c>
      <c r="E92" s="162">
        <f t="shared" si="0"/>
        <v>668.70565206753122</v>
      </c>
      <c r="F92" s="249"/>
      <c r="G92" s="249"/>
    </row>
    <row r="93" spans="1:7" hidden="1" outlineLevel="1">
      <c r="A93" s="156" t="s">
        <v>188</v>
      </c>
      <c r="B93" s="155" t="s">
        <v>584</v>
      </c>
      <c r="C93" s="162">
        <v>0</v>
      </c>
      <c r="D93" s="162"/>
      <c r="E93" s="162"/>
    </row>
    <row r="94" spans="1:7" ht="25.5" hidden="1" customHeight="1" outlineLevel="1">
      <c r="A94" s="156" t="s">
        <v>30</v>
      </c>
      <c r="B94" s="155" t="s">
        <v>631</v>
      </c>
      <c r="C94" s="162">
        <v>8000</v>
      </c>
      <c r="D94" s="162">
        <v>14430</v>
      </c>
      <c r="E94" s="162">
        <f t="shared" si="0"/>
        <v>180.375</v>
      </c>
    </row>
    <row r="95" spans="1:7" collapsed="1">
      <c r="A95" s="153">
        <v>8</v>
      </c>
      <c r="B95" s="155" t="s">
        <v>552</v>
      </c>
      <c r="C95" s="163">
        <f>C96+C97+C98</f>
        <v>4240</v>
      </c>
      <c r="D95" s="162">
        <f>D96+D97+D98</f>
        <v>4816</v>
      </c>
      <c r="E95" s="162">
        <f t="shared" si="0"/>
        <v>113.58490566037736</v>
      </c>
      <c r="F95" s="250"/>
    </row>
    <row r="96" spans="1:7" hidden="1" outlineLevel="1">
      <c r="A96" s="153" t="s">
        <v>30</v>
      </c>
      <c r="B96" s="155" t="s">
        <v>553</v>
      </c>
      <c r="C96" s="163">
        <v>250</v>
      </c>
      <c r="D96" s="163">
        <v>957</v>
      </c>
      <c r="E96" s="162">
        <f t="shared" si="0"/>
        <v>382.8</v>
      </c>
    </row>
    <row r="97" spans="1:5" hidden="1" outlineLevel="1">
      <c r="A97" s="153" t="s">
        <v>30</v>
      </c>
      <c r="B97" s="155" t="s">
        <v>554</v>
      </c>
      <c r="C97" s="163">
        <v>1990</v>
      </c>
      <c r="D97" s="162">
        <v>2366</v>
      </c>
      <c r="E97" s="162">
        <f t="shared" si="0"/>
        <v>118.89447236180905</v>
      </c>
    </row>
    <row r="98" spans="1:5" hidden="1" outlineLevel="1">
      <c r="A98" s="153" t="s">
        <v>30</v>
      </c>
      <c r="B98" s="155" t="s">
        <v>555</v>
      </c>
      <c r="C98" s="163">
        <v>2000</v>
      </c>
      <c r="D98" s="162">
        <v>1493</v>
      </c>
      <c r="E98" s="162">
        <f t="shared" si="0"/>
        <v>74.650000000000006</v>
      </c>
    </row>
    <row r="99" spans="1:5" collapsed="1">
      <c r="A99" s="153">
        <v>9</v>
      </c>
      <c r="B99" s="155" t="s">
        <v>585</v>
      </c>
      <c r="C99" s="163">
        <f>C100</f>
        <v>0</v>
      </c>
      <c r="D99" s="162">
        <f>D100</f>
        <v>4277</v>
      </c>
      <c r="E99" s="162"/>
    </row>
    <row r="100" spans="1:5" ht="25.5" hidden="1">
      <c r="A100" s="153" t="s">
        <v>30</v>
      </c>
      <c r="B100" s="155" t="s">
        <v>826</v>
      </c>
      <c r="C100" s="162">
        <v>0</v>
      </c>
      <c r="D100" s="162">
        <v>4277</v>
      </c>
      <c r="E100" s="162"/>
    </row>
    <row r="101" spans="1:5">
      <c r="A101" s="157" t="s">
        <v>33</v>
      </c>
      <c r="B101" s="158" t="s">
        <v>542</v>
      </c>
      <c r="C101" s="165">
        <f>C102+C112+C118+C124+C129+C139+C143+C145+C155+C159</f>
        <v>27255.652999999998</v>
      </c>
      <c r="D101" s="165">
        <f>D102+D112+D118+D124+D129+D139+D143+D145+D155+D159</f>
        <v>25043.944000000007</v>
      </c>
      <c r="E101" s="165">
        <f>D101/C101*100</f>
        <v>91.885320083874007</v>
      </c>
    </row>
    <row r="102" spans="1:5" s="145" customFormat="1">
      <c r="A102" s="153">
        <v>1</v>
      </c>
      <c r="B102" s="251" t="s">
        <v>294</v>
      </c>
      <c r="C102" s="162">
        <f>C103+C106+C107+C108+C109+C110+C111</f>
        <v>6514</v>
      </c>
      <c r="D102" s="162">
        <f>D103+D106+D107+D108+D109+D110+D111</f>
        <v>5322.0300000000007</v>
      </c>
      <c r="E102" s="243">
        <f>D102/C102*100</f>
        <v>81.70141234264662</v>
      </c>
    </row>
    <row r="103" spans="1:5" hidden="1" outlineLevel="1">
      <c r="A103" s="153" t="s">
        <v>185</v>
      </c>
      <c r="B103" s="155" t="s">
        <v>358</v>
      </c>
      <c r="C103" s="162">
        <f>C104+C105</f>
        <v>2878</v>
      </c>
      <c r="D103" s="162">
        <f>D104+D105</f>
        <v>1737</v>
      </c>
      <c r="E103" s="162">
        <f>D103/C103*100</f>
        <v>60.354412786657399</v>
      </c>
    </row>
    <row r="104" spans="1:5" hidden="1" outlineLevel="1">
      <c r="A104" s="153" t="s">
        <v>30</v>
      </c>
      <c r="B104" s="154" t="s">
        <v>226</v>
      </c>
      <c r="C104" s="162">
        <v>2878</v>
      </c>
      <c r="D104" s="162">
        <v>1737</v>
      </c>
      <c r="E104" s="162">
        <f>D104/C104*100</f>
        <v>60.354412786657399</v>
      </c>
    </row>
    <row r="105" spans="1:5" hidden="1" outlineLevel="1">
      <c r="A105" s="153" t="s">
        <v>30</v>
      </c>
      <c r="B105" s="154" t="s">
        <v>359</v>
      </c>
      <c r="C105" s="162"/>
      <c r="D105" s="162"/>
      <c r="E105" s="162"/>
    </row>
    <row r="106" spans="1:5" hidden="1" outlineLevel="1">
      <c r="A106" s="153" t="s">
        <v>186</v>
      </c>
      <c r="B106" s="155" t="s">
        <v>360</v>
      </c>
      <c r="C106" s="162"/>
      <c r="D106" s="162"/>
      <c r="E106" s="162"/>
    </row>
    <row r="107" spans="1:5" hidden="1" outlineLevel="1">
      <c r="A107" s="153" t="s">
        <v>187</v>
      </c>
      <c r="B107" s="155" t="s">
        <v>225</v>
      </c>
      <c r="C107" s="162"/>
      <c r="D107" s="162"/>
      <c r="E107" s="162"/>
    </row>
    <row r="108" spans="1:5" hidden="1" outlineLevel="1">
      <c r="A108" s="153" t="s">
        <v>212</v>
      </c>
      <c r="B108" s="155" t="s">
        <v>361</v>
      </c>
      <c r="C108" s="162"/>
      <c r="D108" s="162"/>
      <c r="E108" s="162"/>
    </row>
    <row r="109" spans="1:5" hidden="1" outlineLevel="1">
      <c r="A109" s="153" t="s">
        <v>543</v>
      </c>
      <c r="B109" s="155" t="s">
        <v>362</v>
      </c>
      <c r="C109" s="162"/>
      <c r="D109" s="162"/>
      <c r="E109" s="162"/>
    </row>
    <row r="110" spans="1:5" hidden="1" outlineLevel="1">
      <c r="A110" s="153" t="s">
        <v>544</v>
      </c>
      <c r="B110" s="155" t="s">
        <v>363</v>
      </c>
      <c r="C110" s="162"/>
      <c r="D110" s="162"/>
      <c r="E110" s="162"/>
    </row>
    <row r="111" spans="1:5" hidden="1" outlineLevel="1">
      <c r="A111" s="153" t="s">
        <v>545</v>
      </c>
      <c r="B111" s="155" t="s">
        <v>224</v>
      </c>
      <c r="C111" s="162">
        <v>3636</v>
      </c>
      <c r="D111" s="162">
        <v>3585.03</v>
      </c>
      <c r="E111" s="243">
        <f>D111/C111*100</f>
        <v>98.598184818481855</v>
      </c>
    </row>
    <row r="112" spans="1:5" s="145" customFormat="1" collapsed="1">
      <c r="A112" s="153">
        <v>2</v>
      </c>
      <c r="B112" s="251" t="s">
        <v>295</v>
      </c>
      <c r="C112" s="162">
        <f>C113+C116+C117</f>
        <v>3472.6</v>
      </c>
      <c r="D112" s="162">
        <f>D113+D116+D117</f>
        <v>3888.46</v>
      </c>
      <c r="E112" s="243">
        <f>D112/C112*100</f>
        <v>111.97546506940046</v>
      </c>
    </row>
    <row r="113" spans="1:5" hidden="1" outlineLevel="1">
      <c r="A113" s="153" t="s">
        <v>194</v>
      </c>
      <c r="B113" s="155" t="s">
        <v>358</v>
      </c>
      <c r="C113" s="162">
        <v>1045.5999999999999</v>
      </c>
      <c r="D113" s="162">
        <v>842.66</v>
      </c>
      <c r="E113" s="243">
        <f>D113/C113*100</f>
        <v>80.591048201989295</v>
      </c>
    </row>
    <row r="114" spans="1:5" hidden="1" outlineLevel="1">
      <c r="A114" s="153" t="s">
        <v>30</v>
      </c>
      <c r="B114" s="154" t="s">
        <v>226</v>
      </c>
      <c r="C114" s="162"/>
      <c r="D114" s="162"/>
      <c r="E114" s="162">
        <v>0</v>
      </c>
    </row>
    <row r="115" spans="1:5" hidden="1" outlineLevel="1">
      <c r="A115" s="153" t="s">
        <v>30</v>
      </c>
      <c r="B115" s="154" t="s">
        <v>359</v>
      </c>
      <c r="C115" s="162"/>
      <c r="D115" s="162"/>
      <c r="E115" s="162"/>
    </row>
    <row r="116" spans="1:5" hidden="1" outlineLevel="1">
      <c r="A116" s="252" t="s">
        <v>195</v>
      </c>
      <c r="B116" s="253" t="s">
        <v>728</v>
      </c>
      <c r="C116" s="254">
        <v>7</v>
      </c>
      <c r="D116" s="254">
        <v>22.8</v>
      </c>
      <c r="E116" s="243">
        <f t="shared" ref="E116:E121" si="2">D116/C116*100</f>
        <v>325.71428571428572</v>
      </c>
    </row>
    <row r="117" spans="1:5" hidden="1" outlineLevel="1">
      <c r="A117" s="252" t="s">
        <v>196</v>
      </c>
      <c r="B117" s="253" t="s">
        <v>546</v>
      </c>
      <c r="C117" s="254">
        <v>2420</v>
      </c>
      <c r="D117" s="254">
        <v>3023</v>
      </c>
      <c r="E117" s="243">
        <f t="shared" si="2"/>
        <v>124.91735537190083</v>
      </c>
    </row>
    <row r="118" spans="1:5" s="145" customFormat="1" collapsed="1">
      <c r="A118" s="153">
        <v>3</v>
      </c>
      <c r="B118" s="251" t="s">
        <v>296</v>
      </c>
      <c r="C118" s="162">
        <f>C119+C120+C121</f>
        <v>11125.8</v>
      </c>
      <c r="D118" s="162">
        <f>D119+D120+D121</f>
        <v>10638.6</v>
      </c>
      <c r="E118" s="243">
        <f t="shared" si="2"/>
        <v>95.620989052472638</v>
      </c>
    </row>
    <row r="119" spans="1:5" hidden="1" outlineLevel="1">
      <c r="A119" s="153" t="s">
        <v>199</v>
      </c>
      <c r="B119" s="251" t="s">
        <v>546</v>
      </c>
      <c r="C119" s="162">
        <v>1416</v>
      </c>
      <c r="D119" s="162">
        <v>1384.7</v>
      </c>
      <c r="E119" s="243">
        <f t="shared" si="2"/>
        <v>97.789548022598865</v>
      </c>
    </row>
    <row r="120" spans="1:5" hidden="1" outlineLevel="1">
      <c r="A120" s="153" t="s">
        <v>198</v>
      </c>
      <c r="B120" s="251" t="s">
        <v>547</v>
      </c>
      <c r="C120" s="162">
        <v>2288</v>
      </c>
      <c r="D120" s="162">
        <v>2323.8000000000002</v>
      </c>
      <c r="E120" s="243">
        <f t="shared" si="2"/>
        <v>101.56468531468532</v>
      </c>
    </row>
    <row r="121" spans="1:5" hidden="1" outlineLevel="1">
      <c r="A121" s="153" t="s">
        <v>786</v>
      </c>
      <c r="B121" s="251" t="s">
        <v>632</v>
      </c>
      <c r="C121" s="162">
        <f>C122+C123</f>
        <v>7421.8</v>
      </c>
      <c r="D121" s="162">
        <f>D122+D123</f>
        <v>6930.1</v>
      </c>
      <c r="E121" s="243">
        <f t="shared" si="2"/>
        <v>93.374922525532895</v>
      </c>
    </row>
    <row r="122" spans="1:5" hidden="1" outlineLevel="1">
      <c r="A122" s="156" t="s">
        <v>188</v>
      </c>
      <c r="B122" s="251" t="s">
        <v>359</v>
      </c>
      <c r="C122" s="162">
        <v>5.0999999999999996</v>
      </c>
      <c r="D122" s="162">
        <v>5.0999999999999996</v>
      </c>
      <c r="E122" s="162"/>
    </row>
    <row r="123" spans="1:5" hidden="1" outlineLevel="1">
      <c r="A123" s="156" t="s">
        <v>188</v>
      </c>
      <c r="B123" s="251" t="s">
        <v>226</v>
      </c>
      <c r="C123" s="162">
        <v>7416.7</v>
      </c>
      <c r="D123" s="162">
        <v>6925</v>
      </c>
      <c r="E123" s="162">
        <f t="shared" ref="E123:E124" si="3">D123/C123*100</f>
        <v>93.370366874755618</v>
      </c>
    </row>
    <row r="124" spans="1:5" s="145" customFormat="1" collapsed="1">
      <c r="A124" s="153">
        <v>4</v>
      </c>
      <c r="B124" s="251" t="s">
        <v>297</v>
      </c>
      <c r="C124" s="162">
        <f>C125+C127+C128</f>
        <v>760</v>
      </c>
      <c r="D124" s="162">
        <f>D125+D127+D128</f>
        <v>682</v>
      </c>
      <c r="E124" s="162">
        <f t="shared" si="3"/>
        <v>89.736842105263165</v>
      </c>
    </row>
    <row r="125" spans="1:5" hidden="1" outlineLevel="1">
      <c r="A125" s="153" t="s">
        <v>200</v>
      </c>
      <c r="B125" s="155" t="s">
        <v>358</v>
      </c>
      <c r="C125" s="162">
        <f>C126</f>
        <v>760</v>
      </c>
      <c r="D125" s="162">
        <f>D126</f>
        <v>682</v>
      </c>
      <c r="E125" s="162">
        <f>E126</f>
        <v>89.736842105263165</v>
      </c>
    </row>
    <row r="126" spans="1:5" hidden="1" outlineLevel="1">
      <c r="A126" s="156" t="s">
        <v>30</v>
      </c>
      <c r="B126" s="155" t="s">
        <v>226</v>
      </c>
      <c r="C126" s="162">
        <v>760</v>
      </c>
      <c r="D126" s="162">
        <v>682</v>
      </c>
      <c r="E126" s="163">
        <f t="shared" ref="E126:E138" si="4">D126/C126*100</f>
        <v>89.736842105263165</v>
      </c>
    </row>
    <row r="127" spans="1:5" hidden="1" outlineLevel="1">
      <c r="A127" s="153" t="s">
        <v>201</v>
      </c>
      <c r="B127" s="251" t="s">
        <v>546</v>
      </c>
      <c r="C127" s="162"/>
      <c r="D127" s="162"/>
      <c r="E127" s="163"/>
    </row>
    <row r="128" spans="1:5" hidden="1" outlineLevel="1">
      <c r="A128" s="153" t="s">
        <v>202</v>
      </c>
      <c r="B128" s="251" t="s">
        <v>224</v>
      </c>
      <c r="C128" s="162"/>
      <c r="D128" s="162"/>
      <c r="E128" s="163"/>
    </row>
    <row r="129" spans="1:10" s="145" customFormat="1" collapsed="1">
      <c r="A129" s="153">
        <v>5</v>
      </c>
      <c r="B129" s="251" t="s">
        <v>298</v>
      </c>
      <c r="C129" s="162">
        <f>C130+C133+C134+C135+C136+C137+C138</f>
        <v>1396.6</v>
      </c>
      <c r="D129" s="162">
        <f>D130+D133+D134+D135+D136+D137+D138</f>
        <v>1096.3809999999999</v>
      </c>
      <c r="E129" s="243">
        <f t="shared" si="4"/>
        <v>78.50358012315624</v>
      </c>
    </row>
    <row r="130" spans="1:10" hidden="1" outlineLevel="1">
      <c r="A130" s="153" t="s">
        <v>213</v>
      </c>
      <c r="B130" s="155" t="s">
        <v>358</v>
      </c>
      <c r="C130" s="162">
        <f>C131+C132</f>
        <v>578.6</v>
      </c>
      <c r="D130" s="162">
        <f>D131+D132</f>
        <v>289.14999999999998</v>
      </c>
      <c r="E130" s="162">
        <f t="shared" si="4"/>
        <v>49.974075354303487</v>
      </c>
    </row>
    <row r="131" spans="1:10" hidden="1" outlineLevel="1">
      <c r="A131" s="255" t="s">
        <v>30</v>
      </c>
      <c r="B131" s="256" t="s">
        <v>226</v>
      </c>
      <c r="C131" s="222">
        <v>559</v>
      </c>
      <c r="D131" s="222">
        <v>286.22899999999998</v>
      </c>
      <c r="E131" s="222">
        <f t="shared" si="4"/>
        <v>51.203756708407866</v>
      </c>
    </row>
    <row r="132" spans="1:10" hidden="1" outlineLevel="1">
      <c r="A132" s="255" t="s">
        <v>30</v>
      </c>
      <c r="B132" s="256" t="s">
        <v>359</v>
      </c>
      <c r="C132" s="257">
        <v>19.600000000000001</v>
      </c>
      <c r="D132" s="257">
        <v>2.9209999999999998</v>
      </c>
      <c r="E132" s="257">
        <f t="shared" si="4"/>
        <v>14.903061224489795</v>
      </c>
    </row>
    <row r="133" spans="1:10" hidden="1" outlineLevel="1">
      <c r="A133" s="255" t="s">
        <v>214</v>
      </c>
      <c r="B133" s="237" t="s">
        <v>360</v>
      </c>
      <c r="C133" s="222">
        <v>0</v>
      </c>
      <c r="D133" s="222">
        <v>0</v>
      </c>
      <c r="E133" s="222">
        <v>0</v>
      </c>
    </row>
    <row r="134" spans="1:10" hidden="1" outlineLevel="1">
      <c r="A134" s="255" t="s">
        <v>215</v>
      </c>
      <c r="B134" s="237" t="s">
        <v>225</v>
      </c>
      <c r="C134" s="222">
        <v>0</v>
      </c>
      <c r="D134" s="222">
        <v>0</v>
      </c>
      <c r="E134" s="222">
        <v>0</v>
      </c>
    </row>
    <row r="135" spans="1:10" hidden="1" outlineLevel="1">
      <c r="A135" s="255" t="s">
        <v>548</v>
      </c>
      <c r="B135" s="237" t="s">
        <v>361</v>
      </c>
      <c r="C135" s="222">
        <v>0</v>
      </c>
      <c r="D135" s="222">
        <v>0</v>
      </c>
      <c r="E135" s="222">
        <v>0</v>
      </c>
    </row>
    <row r="136" spans="1:10" hidden="1" outlineLevel="1">
      <c r="A136" s="255" t="s">
        <v>549</v>
      </c>
      <c r="B136" s="237" t="s">
        <v>362</v>
      </c>
      <c r="C136" s="222">
        <v>0</v>
      </c>
      <c r="D136" s="222">
        <v>0</v>
      </c>
      <c r="E136" s="222">
        <v>0</v>
      </c>
    </row>
    <row r="137" spans="1:10" hidden="1" outlineLevel="1">
      <c r="A137" s="255" t="s">
        <v>550</v>
      </c>
      <c r="B137" s="237" t="s">
        <v>363</v>
      </c>
      <c r="C137" s="222">
        <v>0</v>
      </c>
      <c r="D137" s="222">
        <v>0</v>
      </c>
      <c r="E137" s="222">
        <v>0</v>
      </c>
    </row>
    <row r="138" spans="1:10" hidden="1" outlineLevel="1">
      <c r="A138" s="255" t="s">
        <v>551</v>
      </c>
      <c r="B138" s="237" t="s">
        <v>224</v>
      </c>
      <c r="C138" s="222">
        <v>818</v>
      </c>
      <c r="D138" s="222">
        <v>807.23099999999999</v>
      </c>
      <c r="E138" s="258">
        <f t="shared" si="4"/>
        <v>98.683496332518345</v>
      </c>
    </row>
    <row r="139" spans="1:10" s="145" customFormat="1" collapsed="1">
      <c r="A139" s="255">
        <v>6</v>
      </c>
      <c r="B139" s="259" t="s">
        <v>299</v>
      </c>
      <c r="C139" s="222">
        <f>C140</f>
        <v>676.8</v>
      </c>
      <c r="D139" s="222">
        <f t="shared" ref="D139:E139" si="5">D140</f>
        <v>845.85900000000004</v>
      </c>
      <c r="E139" s="222">
        <f t="shared" si="5"/>
        <v>124.97916666666669</v>
      </c>
      <c r="F139" s="187"/>
      <c r="G139" s="187"/>
      <c r="H139" s="187"/>
      <c r="I139" s="187"/>
      <c r="J139" s="187"/>
    </row>
    <row r="140" spans="1:10" hidden="1" outlineLevel="1">
      <c r="A140" s="236" t="s">
        <v>216</v>
      </c>
      <c r="B140" s="237" t="s">
        <v>358</v>
      </c>
      <c r="C140" s="260">
        <f>C141+C142</f>
        <v>676.8</v>
      </c>
      <c r="D140" s="260">
        <f>D141+D142</f>
        <v>845.85900000000004</v>
      </c>
      <c r="E140" s="258">
        <f t="shared" ref="E140:E142" si="6">D140/C140*100</f>
        <v>124.97916666666669</v>
      </c>
    </row>
    <row r="141" spans="1:10" hidden="1" outlineLevel="1">
      <c r="A141" s="261" t="s">
        <v>30</v>
      </c>
      <c r="B141" s="256" t="s">
        <v>226</v>
      </c>
      <c r="C141" s="262">
        <f>616.8</f>
        <v>616.79999999999995</v>
      </c>
      <c r="D141" s="263">
        <f>537.211</f>
        <v>537.21100000000001</v>
      </c>
      <c r="E141" s="258">
        <f t="shared" si="6"/>
        <v>87.096465629053185</v>
      </c>
    </row>
    <row r="142" spans="1:10" hidden="1" outlineLevel="1">
      <c r="A142" s="261" t="s">
        <v>30</v>
      </c>
      <c r="B142" s="256" t="s">
        <v>359</v>
      </c>
      <c r="C142" s="262">
        <v>60</v>
      </c>
      <c r="D142" s="264">
        <v>308.64800000000002</v>
      </c>
      <c r="E142" s="258">
        <f t="shared" si="6"/>
        <v>514.4133333333333</v>
      </c>
    </row>
    <row r="143" spans="1:10" s="145" customFormat="1" collapsed="1">
      <c r="A143" s="255">
        <v>7</v>
      </c>
      <c r="B143" s="259" t="s">
        <v>300</v>
      </c>
      <c r="C143" s="222">
        <f>C144</f>
        <v>360</v>
      </c>
      <c r="D143" s="265">
        <f t="shared" ref="D143" si="7">D144</f>
        <v>0</v>
      </c>
      <c r="E143" s="258">
        <f>D143/C143*100</f>
        <v>0</v>
      </c>
    </row>
    <row r="144" spans="1:10" s="145" customFormat="1" hidden="1">
      <c r="A144" s="255" t="s">
        <v>30</v>
      </c>
      <c r="B144" s="259" t="s">
        <v>585</v>
      </c>
      <c r="C144" s="222">
        <v>360</v>
      </c>
      <c r="D144" s="258">
        <v>0</v>
      </c>
      <c r="E144" s="258">
        <f>D144/C144*100</f>
        <v>0</v>
      </c>
    </row>
    <row r="145" spans="1:9" s="145" customFormat="1">
      <c r="A145" s="255">
        <v>8</v>
      </c>
      <c r="B145" s="259" t="s">
        <v>276</v>
      </c>
      <c r="C145" s="222">
        <f>C146+C149+C150+C151+C152+C153+C154</f>
        <v>1116.1979999999999</v>
      </c>
      <c r="D145" s="222">
        <f>D146+D149+D150+D151+D152+D153+D154</f>
        <v>797.95399999999995</v>
      </c>
      <c r="E145" s="266">
        <f>D145/C145*100</f>
        <v>71.4885710241373</v>
      </c>
    </row>
    <row r="146" spans="1:9" s="145" customFormat="1" hidden="1">
      <c r="A146" s="267" t="s">
        <v>252</v>
      </c>
      <c r="B146" s="268" t="s">
        <v>358</v>
      </c>
      <c r="C146" s="269">
        <f>C147+C148</f>
        <v>137.19799999999998</v>
      </c>
      <c r="D146" s="269">
        <f>D147+D148</f>
        <v>81.426000000000002</v>
      </c>
      <c r="E146" s="270">
        <f>D146/C146*100</f>
        <v>59.349261651044486</v>
      </c>
    </row>
    <row r="147" spans="1:9" s="145" customFormat="1" hidden="1">
      <c r="A147" s="271" t="s">
        <v>30</v>
      </c>
      <c r="B147" s="272" t="s">
        <v>226</v>
      </c>
      <c r="C147" s="273">
        <v>122.19799999999999</v>
      </c>
      <c r="D147" s="273">
        <v>75.088999999999999</v>
      </c>
      <c r="E147" s="274">
        <f t="shared" ref="E147:E148" si="8">D147/C147*100</f>
        <v>61.448632547177532</v>
      </c>
    </row>
    <row r="148" spans="1:9" s="145" customFormat="1" hidden="1">
      <c r="A148" s="271" t="s">
        <v>30</v>
      </c>
      <c r="B148" s="272" t="s">
        <v>359</v>
      </c>
      <c r="C148" s="273">
        <v>15</v>
      </c>
      <c r="D148" s="273">
        <v>6.3369999999999997</v>
      </c>
      <c r="E148" s="274">
        <f t="shared" si="8"/>
        <v>42.246666666666663</v>
      </c>
    </row>
    <row r="149" spans="1:9" s="145" customFormat="1" hidden="1">
      <c r="A149" s="271" t="s">
        <v>253</v>
      </c>
      <c r="B149" s="275" t="s">
        <v>360</v>
      </c>
      <c r="C149" s="273"/>
      <c r="D149" s="273"/>
      <c r="E149" s="274"/>
    </row>
    <row r="150" spans="1:9" s="145" customFormat="1" hidden="1">
      <c r="A150" s="271" t="s">
        <v>254</v>
      </c>
      <c r="B150" s="275" t="s">
        <v>225</v>
      </c>
      <c r="C150" s="273"/>
      <c r="D150" s="273"/>
      <c r="E150" s="274"/>
    </row>
    <row r="151" spans="1:9" s="145" customFormat="1" hidden="1">
      <c r="A151" s="271" t="s">
        <v>787</v>
      </c>
      <c r="B151" s="275" t="s">
        <v>361</v>
      </c>
      <c r="C151" s="273"/>
      <c r="D151" s="273"/>
      <c r="E151" s="274"/>
    </row>
    <row r="152" spans="1:9" s="145" customFormat="1" hidden="1">
      <c r="A152" s="271" t="s">
        <v>788</v>
      </c>
      <c r="B152" s="275" t="s">
        <v>362</v>
      </c>
      <c r="C152" s="273">
        <v>91</v>
      </c>
      <c r="D152" s="273">
        <v>90.8</v>
      </c>
      <c r="E152" s="274">
        <f t="shared" ref="E152" si="9">D152/C152*100</f>
        <v>99.780219780219781</v>
      </c>
    </row>
    <row r="153" spans="1:9" s="145" customFormat="1" hidden="1">
      <c r="A153" s="271" t="s">
        <v>789</v>
      </c>
      <c r="B153" s="275" t="s">
        <v>363</v>
      </c>
      <c r="C153" s="273"/>
      <c r="D153" s="273"/>
      <c r="E153" s="274"/>
    </row>
    <row r="154" spans="1:9" s="145" customFormat="1" hidden="1">
      <c r="A154" s="271" t="s">
        <v>790</v>
      </c>
      <c r="B154" s="275" t="s">
        <v>546</v>
      </c>
      <c r="C154" s="276">
        <v>888</v>
      </c>
      <c r="D154" s="276">
        <v>625.72799999999995</v>
      </c>
      <c r="E154" s="274">
        <f t="shared" ref="E154" si="10">D154/C154*100</f>
        <v>70.464864864864865</v>
      </c>
    </row>
    <row r="155" spans="1:9" s="145" customFormat="1">
      <c r="A155" s="271">
        <v>9</v>
      </c>
      <c r="B155" s="277" t="s">
        <v>301</v>
      </c>
      <c r="C155" s="278">
        <f>C156+C157+C158</f>
        <v>1718</v>
      </c>
      <c r="D155" s="278">
        <f>D156+D157+D158</f>
        <v>1710</v>
      </c>
      <c r="E155" s="279">
        <f>D155/C155*100</f>
        <v>99.534342258440049</v>
      </c>
      <c r="F155" s="187"/>
      <c r="G155" s="187"/>
      <c r="H155" s="187"/>
      <c r="I155" s="187"/>
    </row>
    <row r="156" spans="1:9" s="145" customFormat="1" hidden="1">
      <c r="A156" s="280" t="s">
        <v>30</v>
      </c>
      <c r="B156" s="275" t="s">
        <v>226</v>
      </c>
      <c r="C156" s="278"/>
      <c r="D156" s="278"/>
      <c r="E156" s="281"/>
      <c r="F156" s="187"/>
      <c r="G156" s="187"/>
      <c r="H156" s="187"/>
      <c r="I156" s="187"/>
    </row>
    <row r="157" spans="1:9" s="145" customFormat="1" hidden="1">
      <c r="A157" s="280" t="s">
        <v>30</v>
      </c>
      <c r="B157" s="275" t="s">
        <v>361</v>
      </c>
      <c r="C157" s="278"/>
      <c r="D157" s="278"/>
      <c r="E157" s="278"/>
      <c r="F157" s="187"/>
      <c r="G157" s="187"/>
      <c r="H157" s="187"/>
      <c r="I157" s="187"/>
    </row>
    <row r="158" spans="1:9" s="145" customFormat="1" hidden="1">
      <c r="A158" s="280" t="s">
        <v>30</v>
      </c>
      <c r="B158" s="277" t="s">
        <v>546</v>
      </c>
      <c r="C158" s="282">
        <v>1718</v>
      </c>
      <c r="D158" s="282">
        <v>1710</v>
      </c>
      <c r="E158" s="279">
        <f>D158/C158*100</f>
        <v>99.534342258440049</v>
      </c>
      <c r="F158" s="187"/>
      <c r="G158" s="187"/>
      <c r="H158" s="187"/>
      <c r="I158" s="187"/>
    </row>
    <row r="159" spans="1:9" s="145" customFormat="1" ht="17.25" customHeight="1">
      <c r="A159" s="283">
        <v>10</v>
      </c>
      <c r="B159" s="284" t="s">
        <v>633</v>
      </c>
      <c r="C159" s="285">
        <f>C160+C163+C164+C165+C166+C167</f>
        <v>115.655</v>
      </c>
      <c r="D159" s="286">
        <f>D160+D163+D164+D165+D166+D167</f>
        <v>62.66</v>
      </c>
      <c r="E159" s="286">
        <f>D159/C159*100</f>
        <v>54.178375340452199</v>
      </c>
    </row>
    <row r="160" spans="1:9" ht="15" hidden="1" customHeight="1" outlineLevel="1">
      <c r="A160" s="223" t="s">
        <v>634</v>
      </c>
      <c r="B160" s="224" t="s">
        <v>358</v>
      </c>
      <c r="C160" s="225">
        <f>C161+C162</f>
        <v>45.795000000000002</v>
      </c>
      <c r="D160" s="226">
        <v>0</v>
      </c>
      <c r="E160" s="227"/>
    </row>
    <row r="161" spans="1:5" hidden="1" outlineLevel="1">
      <c r="A161" s="228" t="s">
        <v>188</v>
      </c>
      <c r="B161" s="229" t="s">
        <v>226</v>
      </c>
      <c r="C161" s="185">
        <v>45.795000000000002</v>
      </c>
      <c r="D161" s="159"/>
      <c r="E161" s="160"/>
    </row>
    <row r="162" spans="1:5" ht="15" hidden="1" customHeight="1" outlineLevel="1">
      <c r="A162" s="228" t="s">
        <v>188</v>
      </c>
      <c r="B162" s="230" t="s">
        <v>359</v>
      </c>
      <c r="C162" s="231"/>
      <c r="D162" s="231"/>
      <c r="E162" s="232"/>
    </row>
    <row r="163" spans="1:5" hidden="1" outlineLevel="1">
      <c r="A163" s="228" t="s">
        <v>635</v>
      </c>
      <c r="B163" s="230" t="s">
        <v>360</v>
      </c>
      <c r="C163" s="159"/>
      <c r="D163" s="159"/>
      <c r="E163" s="160"/>
    </row>
    <row r="164" spans="1:5" hidden="1" outlineLevel="1">
      <c r="A164" s="228" t="s">
        <v>636</v>
      </c>
      <c r="B164" s="230" t="s">
        <v>225</v>
      </c>
      <c r="C164" s="186">
        <v>69.86</v>
      </c>
      <c r="D164" s="184">
        <v>62.66</v>
      </c>
      <c r="E164" s="233">
        <f>D164/C164*100</f>
        <v>89.693673060406525</v>
      </c>
    </row>
    <row r="165" spans="1:5" hidden="1" outlineLevel="1">
      <c r="A165" s="228" t="s">
        <v>637</v>
      </c>
      <c r="B165" s="230" t="s">
        <v>361</v>
      </c>
      <c r="C165" s="159"/>
      <c r="D165" s="159"/>
      <c r="E165" s="160"/>
    </row>
    <row r="166" spans="1:5" hidden="1" outlineLevel="1">
      <c r="A166" s="228" t="s">
        <v>638</v>
      </c>
      <c r="B166" s="230" t="s">
        <v>362</v>
      </c>
      <c r="C166" s="159"/>
      <c r="D166" s="159"/>
      <c r="E166" s="160"/>
    </row>
    <row r="167" spans="1:5" hidden="1" outlineLevel="1">
      <c r="A167" s="234" t="s">
        <v>639</v>
      </c>
      <c r="B167" s="235" t="s">
        <v>363</v>
      </c>
      <c r="C167" s="146"/>
      <c r="D167" s="146"/>
      <c r="E167" s="147"/>
    </row>
    <row r="168" spans="1:5" collapsed="1"/>
    <row r="170" spans="1:5">
      <c r="A170" s="148"/>
    </row>
    <row r="171" spans="1:5">
      <c r="A171" s="148"/>
    </row>
  </sheetData>
  <mergeCells count="6">
    <mergeCell ref="F12:F44"/>
    <mergeCell ref="A1:E1"/>
    <mergeCell ref="A2:E2"/>
    <mergeCell ref="A3:E3"/>
    <mergeCell ref="A4:E4"/>
    <mergeCell ref="A5:D5"/>
  </mergeCells>
  <pageMargins left="0.7" right="0.2" top="0.31" bottom="0.22" header="0.3"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xSplit="2" ySplit="3" topLeftCell="C16" activePane="bottomRight" state="frozen"/>
      <selection pane="topRight" activeCell="C1" sqref="C1"/>
      <selection pane="bottomLeft" activeCell="A4" sqref="A4"/>
      <selection pane="bottomRight" activeCell="C9" sqref="C9"/>
    </sheetView>
  </sheetViews>
  <sheetFormatPr defaultColWidth="9.140625" defaultRowHeight="18.75"/>
  <cols>
    <col min="1" max="1" width="5.5703125" style="26" customWidth="1"/>
    <col min="2" max="2" width="53.5703125" style="26" customWidth="1"/>
    <col min="3" max="3" width="17.42578125" style="26" customWidth="1"/>
    <col min="4" max="4" width="20.5703125" style="26" customWidth="1"/>
    <col min="5" max="5" width="21.7109375" style="26" customWidth="1"/>
    <col min="6" max="6" width="19" style="26" customWidth="1"/>
    <col min="7" max="16384" width="9.140625" style="26"/>
  </cols>
  <sheetData>
    <row r="1" spans="1:7" s="19" customFormat="1">
      <c r="A1" s="598" t="s">
        <v>328</v>
      </c>
      <c r="B1" s="598"/>
      <c r="C1" s="598"/>
      <c r="D1" s="598"/>
      <c r="E1" s="598"/>
      <c r="F1" s="598"/>
    </row>
    <row r="3" spans="1:7" s="21" customFormat="1" ht="37.5">
      <c r="A3" s="20" t="s">
        <v>16</v>
      </c>
      <c r="B3" s="20" t="s">
        <v>329</v>
      </c>
      <c r="C3" s="20" t="s">
        <v>330</v>
      </c>
      <c r="D3" s="20" t="s">
        <v>331</v>
      </c>
      <c r="E3" s="20" t="s">
        <v>332</v>
      </c>
      <c r="F3" s="20" t="s">
        <v>333</v>
      </c>
    </row>
    <row r="4" spans="1:7" ht="36" customHeight="1">
      <c r="A4" s="22">
        <v>1</v>
      </c>
      <c r="B4" s="23" t="s">
        <v>655</v>
      </c>
      <c r="C4" s="24" t="s">
        <v>334</v>
      </c>
      <c r="D4" s="25" t="s">
        <v>346</v>
      </c>
      <c r="E4" s="25" t="s">
        <v>339</v>
      </c>
      <c r="F4" s="599" t="s">
        <v>716</v>
      </c>
    </row>
    <row r="5" spans="1:7" ht="37.5">
      <c r="A5" s="25">
        <v>2</v>
      </c>
      <c r="B5" s="27" t="s">
        <v>335</v>
      </c>
      <c r="C5" s="28" t="s">
        <v>336</v>
      </c>
      <c r="D5" s="25" t="s">
        <v>346</v>
      </c>
      <c r="E5" s="25" t="s">
        <v>715</v>
      </c>
      <c r="F5" s="600"/>
    </row>
    <row r="6" spans="1:7" ht="37.5">
      <c r="A6" s="25">
        <v>3</v>
      </c>
      <c r="B6" s="27" t="s">
        <v>337</v>
      </c>
      <c r="C6" s="28" t="s">
        <v>338</v>
      </c>
      <c r="D6" s="25" t="s">
        <v>339</v>
      </c>
      <c r="E6" s="25"/>
      <c r="F6" s="600"/>
    </row>
    <row r="7" spans="1:7" ht="37.5">
      <c r="A7" s="25">
        <v>4</v>
      </c>
      <c r="B7" s="27" t="s">
        <v>344</v>
      </c>
      <c r="C7" s="28" t="s">
        <v>340</v>
      </c>
      <c r="D7" s="25" t="s">
        <v>346</v>
      </c>
      <c r="E7" s="25" t="s">
        <v>374</v>
      </c>
      <c r="F7" s="600"/>
    </row>
    <row r="8" spans="1:7" ht="37.5">
      <c r="A8" s="25">
        <v>5</v>
      </c>
      <c r="B8" s="27" t="s">
        <v>345</v>
      </c>
      <c r="C8" s="28" t="s">
        <v>341</v>
      </c>
      <c r="D8" s="25" t="s">
        <v>346</v>
      </c>
      <c r="E8" s="25" t="s">
        <v>374</v>
      </c>
      <c r="F8" s="600"/>
    </row>
    <row r="9" spans="1:7" ht="37.5">
      <c r="A9" s="25">
        <v>6</v>
      </c>
      <c r="B9" s="27" t="s">
        <v>347</v>
      </c>
      <c r="C9" s="28" t="s">
        <v>342</v>
      </c>
      <c r="D9" s="25" t="s">
        <v>590</v>
      </c>
      <c r="E9" s="25" t="s">
        <v>374</v>
      </c>
      <c r="F9" s="600"/>
    </row>
    <row r="10" spans="1:7" ht="37.5">
      <c r="A10" s="25">
        <v>7</v>
      </c>
      <c r="B10" s="27" t="s">
        <v>348</v>
      </c>
      <c r="C10" s="28" t="s">
        <v>343</v>
      </c>
      <c r="D10" s="25" t="s">
        <v>346</v>
      </c>
      <c r="E10" s="25" t="s">
        <v>374</v>
      </c>
      <c r="F10" s="600"/>
    </row>
    <row r="11" spans="1:7" ht="37.5">
      <c r="A11" s="25">
        <v>8</v>
      </c>
      <c r="B11" s="27" t="s">
        <v>352</v>
      </c>
      <c r="C11" s="28" t="s">
        <v>349</v>
      </c>
      <c r="D11" s="25" t="s">
        <v>346</v>
      </c>
      <c r="E11" s="25" t="s">
        <v>374</v>
      </c>
      <c r="F11" s="600"/>
    </row>
    <row r="12" spans="1:7" ht="37.5">
      <c r="A12" s="25">
        <v>9</v>
      </c>
      <c r="B12" s="27" t="s">
        <v>355</v>
      </c>
      <c r="C12" s="28" t="s">
        <v>350</v>
      </c>
      <c r="D12" s="25" t="s">
        <v>346</v>
      </c>
      <c r="E12" s="25" t="s">
        <v>374</v>
      </c>
      <c r="F12" s="600"/>
    </row>
    <row r="13" spans="1:7">
      <c r="A13" s="25">
        <v>10</v>
      </c>
      <c r="B13" s="27" t="s">
        <v>353</v>
      </c>
      <c r="C13" s="28" t="s">
        <v>351</v>
      </c>
      <c r="D13" s="25" t="s">
        <v>354</v>
      </c>
      <c r="E13" s="25" t="s">
        <v>374</v>
      </c>
      <c r="F13" s="600"/>
    </row>
    <row r="14" spans="1:7" ht="37.5">
      <c r="A14" s="25">
        <v>11</v>
      </c>
      <c r="B14" s="31" t="s">
        <v>656</v>
      </c>
      <c r="C14" s="28" t="s">
        <v>364</v>
      </c>
      <c r="D14" s="30" t="s">
        <v>589</v>
      </c>
      <c r="E14" s="30" t="s">
        <v>373</v>
      </c>
      <c r="F14" s="600"/>
      <c r="G14" s="32"/>
    </row>
    <row r="15" spans="1:7" ht="56.25">
      <c r="A15" s="25">
        <v>12</v>
      </c>
      <c r="B15" s="31" t="s">
        <v>657</v>
      </c>
      <c r="C15" s="28" t="s">
        <v>356</v>
      </c>
      <c r="D15" s="30" t="s">
        <v>373</v>
      </c>
      <c r="E15" s="25" t="s">
        <v>374</v>
      </c>
      <c r="F15" s="601"/>
      <c r="G15" s="32"/>
    </row>
    <row r="16" spans="1:7">
      <c r="A16" s="29"/>
      <c r="B16" s="29"/>
      <c r="C16" s="29"/>
      <c r="D16" s="29"/>
      <c r="E16" s="29"/>
      <c r="F16" s="29"/>
    </row>
  </sheetData>
  <mergeCells count="2">
    <mergeCell ref="A1:F1"/>
    <mergeCell ref="F4:F15"/>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tabSelected="1" topLeftCell="B1" zoomScaleNormal="100" workbookViewId="0">
      <pane ySplit="7" topLeftCell="A8" activePane="bottomLeft" state="frozen"/>
      <selection activeCell="B14" sqref="B14"/>
      <selection pane="bottomLeft" activeCell="E24" sqref="E24"/>
    </sheetView>
  </sheetViews>
  <sheetFormatPr defaultColWidth="9.140625" defaultRowHeight="15"/>
  <cols>
    <col min="1" max="1" width="0" style="14" hidden="1" customWidth="1"/>
    <col min="2" max="2" width="7.7109375" style="14" customWidth="1"/>
    <col min="3" max="3" width="29" style="14" customWidth="1"/>
    <col min="4" max="4" width="14.140625" style="14" customWidth="1"/>
    <col min="5" max="5" width="13.7109375" style="14" customWidth="1"/>
    <col min="6" max="6" width="11.7109375" style="14" customWidth="1"/>
    <col min="7" max="7" width="12.5703125" style="14" customWidth="1"/>
    <col min="8" max="8" width="9.140625" style="14" customWidth="1"/>
    <col min="9" max="9" width="14" style="14" customWidth="1"/>
    <col min="10" max="10" width="14.140625" style="14" customWidth="1"/>
    <col min="11" max="16384" width="9.140625" style="14"/>
  </cols>
  <sheetData>
    <row r="1" spans="2:10">
      <c r="B1" s="95"/>
      <c r="F1" s="603" t="s">
        <v>334</v>
      </c>
      <c r="G1" s="603"/>
    </row>
    <row r="2" spans="2:10">
      <c r="B2" s="604" t="s">
        <v>640</v>
      </c>
      <c r="C2" s="604"/>
      <c r="D2" s="604"/>
      <c r="E2" s="604"/>
      <c r="F2" s="604"/>
      <c r="G2" s="604"/>
    </row>
    <row r="3" spans="2:10">
      <c r="B3" s="605" t="s">
        <v>641</v>
      </c>
      <c r="C3" s="605"/>
      <c r="D3" s="605"/>
      <c r="E3" s="605"/>
      <c r="F3" s="605"/>
      <c r="G3" s="605"/>
    </row>
    <row r="4" spans="2:10">
      <c r="B4" s="143"/>
      <c r="F4" s="606" t="s">
        <v>539</v>
      </c>
      <c r="G4" s="606"/>
    </row>
    <row r="5" spans="2:10">
      <c r="B5" s="607" t="s">
        <v>16</v>
      </c>
      <c r="C5" s="607" t="s">
        <v>17</v>
      </c>
      <c r="D5" s="607" t="s">
        <v>18</v>
      </c>
      <c r="E5" s="607" t="s">
        <v>19</v>
      </c>
      <c r="F5" s="607" t="s">
        <v>564</v>
      </c>
      <c r="G5" s="607"/>
    </row>
    <row r="6" spans="2:10" ht="21" customHeight="1">
      <c r="B6" s="607"/>
      <c r="C6" s="607"/>
      <c r="D6" s="607"/>
      <c r="E6" s="607"/>
      <c r="F6" s="35" t="s">
        <v>21</v>
      </c>
      <c r="G6" s="35" t="s">
        <v>22</v>
      </c>
    </row>
    <row r="7" spans="2:10">
      <c r="B7" s="35" t="s">
        <v>23</v>
      </c>
      <c r="C7" s="35" t="s">
        <v>24</v>
      </c>
      <c r="D7" s="35">
        <v>1</v>
      </c>
      <c r="E7" s="35">
        <v>2</v>
      </c>
      <c r="F7" s="35" t="s">
        <v>25</v>
      </c>
      <c r="G7" s="35" t="s">
        <v>26</v>
      </c>
    </row>
    <row r="8" spans="2:10" ht="24.75" customHeight="1">
      <c r="B8" s="38" t="s">
        <v>23</v>
      </c>
      <c r="C8" s="39" t="s">
        <v>27</v>
      </c>
      <c r="D8" s="287">
        <f>D9+D12+D15+D16+D17+D18+D19</f>
        <v>8548648</v>
      </c>
      <c r="E8" s="287">
        <f>E9+E12+E15+E16+E17+E18+E19+E20</f>
        <v>12125332.578783998</v>
      </c>
      <c r="F8" s="36">
        <f>E8-D8</f>
        <v>3576684.5787839983</v>
      </c>
      <c r="G8" s="40">
        <f>IF(D8=0, ,E8/D8*100)</f>
        <v>141.83918414682648</v>
      </c>
      <c r="H8" s="109"/>
      <c r="I8" s="109"/>
      <c r="J8" s="109"/>
    </row>
    <row r="9" spans="2:10" ht="36.75" customHeight="1">
      <c r="B9" s="97" t="s">
        <v>28</v>
      </c>
      <c r="C9" s="98" t="s">
        <v>29</v>
      </c>
      <c r="D9" s="99">
        <f>D10+D11</f>
        <v>3498400</v>
      </c>
      <c r="E9" s="99">
        <f>E10+E11</f>
        <v>3516639.5622999994</v>
      </c>
      <c r="F9" s="92">
        <f t="shared" ref="F9:F45" si="0">E9-D9</f>
        <v>18239.562299999408</v>
      </c>
      <c r="G9" s="100">
        <f t="shared" ref="G9:G45" si="1">IF(D9=0, ,E9/D9*100)</f>
        <v>100.52136869140176</v>
      </c>
    </row>
    <row r="10" spans="2:10" ht="21" customHeight="1">
      <c r="B10" s="101" t="s">
        <v>30</v>
      </c>
      <c r="C10" s="102" t="s">
        <v>31</v>
      </c>
      <c r="D10" s="103">
        <v>2322000</v>
      </c>
      <c r="E10" s="103">
        <v>2134624.7826529993</v>
      </c>
      <c r="F10" s="91">
        <f t="shared" si="0"/>
        <v>-187375.21734700073</v>
      </c>
      <c r="G10" s="104">
        <f t="shared" si="1"/>
        <v>91.930438529414275</v>
      </c>
      <c r="I10" s="109"/>
    </row>
    <row r="11" spans="2:10" ht="33" customHeight="1">
      <c r="B11" s="101" t="s">
        <v>30</v>
      </c>
      <c r="C11" s="102" t="s">
        <v>32</v>
      </c>
      <c r="D11" s="288">
        <v>1176400</v>
      </c>
      <c r="E11" s="103">
        <v>1382014.7796469999</v>
      </c>
      <c r="F11" s="91">
        <f t="shared" si="0"/>
        <v>205614.7796469999</v>
      </c>
      <c r="G11" s="104">
        <f t="shared" si="1"/>
        <v>117.47830496829307</v>
      </c>
    </row>
    <row r="12" spans="2:10" ht="30" customHeight="1">
      <c r="B12" s="97" t="s">
        <v>33</v>
      </c>
      <c r="C12" s="98" t="s">
        <v>34</v>
      </c>
      <c r="D12" s="99">
        <f>SUM(D13:D14)</f>
        <v>5050248</v>
      </c>
      <c r="E12" s="99">
        <f>SUM(E13:E14)</f>
        <v>6134248.6587339994</v>
      </c>
      <c r="F12" s="92">
        <f t="shared" si="0"/>
        <v>1084000.6587339994</v>
      </c>
      <c r="G12" s="100">
        <f t="shared" si="1"/>
        <v>121.46430549022543</v>
      </c>
    </row>
    <row r="13" spans="2:10" ht="26.25" customHeight="1">
      <c r="B13" s="101">
        <v>1</v>
      </c>
      <c r="C13" s="102" t="s">
        <v>35</v>
      </c>
      <c r="D13" s="289">
        <v>3603517</v>
      </c>
      <c r="E13" s="103">
        <v>3603517</v>
      </c>
      <c r="F13" s="91">
        <f t="shared" si="0"/>
        <v>0</v>
      </c>
      <c r="G13" s="104">
        <f t="shared" si="1"/>
        <v>100</v>
      </c>
    </row>
    <row r="14" spans="2:10" ht="24" customHeight="1">
      <c r="B14" s="101">
        <v>2</v>
      </c>
      <c r="C14" s="102" t="s">
        <v>36</v>
      </c>
      <c r="D14" s="103">
        <v>1446731</v>
      </c>
      <c r="E14" s="103">
        <v>2530731.6587339998</v>
      </c>
      <c r="F14" s="91">
        <f t="shared" si="0"/>
        <v>1084000.6587339998</v>
      </c>
      <c r="G14" s="104">
        <f t="shared" si="1"/>
        <v>174.92758907730598</v>
      </c>
      <c r="J14" s="109"/>
    </row>
    <row r="15" spans="2:10" ht="22.5" customHeight="1">
      <c r="B15" s="97" t="s">
        <v>37</v>
      </c>
      <c r="C15" s="98" t="s">
        <v>38</v>
      </c>
      <c r="D15" s="99"/>
      <c r="E15" s="99"/>
      <c r="F15" s="92">
        <f t="shared" si="0"/>
        <v>0</v>
      </c>
      <c r="G15" s="100">
        <f t="shared" si="1"/>
        <v>0</v>
      </c>
    </row>
    <row r="16" spans="2:10" ht="21.75" customHeight="1">
      <c r="B16" s="97" t="s">
        <v>39</v>
      </c>
      <c r="C16" s="98" t="s">
        <v>530</v>
      </c>
      <c r="D16" s="99"/>
      <c r="E16" s="99">
        <v>51794.075448000003</v>
      </c>
      <c r="F16" s="92">
        <f t="shared" si="0"/>
        <v>51794.075448000003</v>
      </c>
      <c r="G16" s="100">
        <f t="shared" si="1"/>
        <v>0</v>
      </c>
    </row>
    <row r="17" spans="2:11" ht="30.75" customHeight="1">
      <c r="B17" s="97" t="s">
        <v>40</v>
      </c>
      <c r="C17" s="98" t="s">
        <v>41</v>
      </c>
      <c r="D17" s="99"/>
      <c r="E17" s="99">
        <v>2204821.3496130002</v>
      </c>
      <c r="F17" s="92">
        <f t="shared" si="0"/>
        <v>2204821.3496130002</v>
      </c>
      <c r="G17" s="100">
        <f t="shared" si="1"/>
        <v>0</v>
      </c>
    </row>
    <row r="18" spans="2:11" ht="30.75" customHeight="1">
      <c r="B18" s="97" t="s">
        <v>125</v>
      </c>
      <c r="C18" s="98" t="s">
        <v>528</v>
      </c>
      <c r="D18" s="99"/>
      <c r="E18" s="99">
        <v>194591.93462099999</v>
      </c>
      <c r="F18" s="92">
        <f t="shared" si="0"/>
        <v>194591.93462099999</v>
      </c>
      <c r="G18" s="100">
        <f t="shared" si="1"/>
        <v>0</v>
      </c>
    </row>
    <row r="19" spans="2:11" ht="30.75" customHeight="1">
      <c r="B19" s="97" t="s">
        <v>157</v>
      </c>
      <c r="C19" s="98" t="s">
        <v>529</v>
      </c>
      <c r="D19" s="99"/>
      <c r="E19" s="99">
        <v>22936.998068000001</v>
      </c>
      <c r="F19" s="92">
        <f t="shared" si="0"/>
        <v>22936.998068000001</v>
      </c>
      <c r="G19" s="100">
        <f t="shared" si="1"/>
        <v>0</v>
      </c>
    </row>
    <row r="20" spans="2:11" ht="30.75" customHeight="1">
      <c r="B20" s="97" t="s">
        <v>469</v>
      </c>
      <c r="C20" s="98" t="s">
        <v>560</v>
      </c>
      <c r="D20" s="99"/>
      <c r="E20" s="99">
        <v>300</v>
      </c>
      <c r="F20" s="92">
        <f t="shared" si="0"/>
        <v>300</v>
      </c>
      <c r="G20" s="100">
        <f t="shared" si="1"/>
        <v>0</v>
      </c>
    </row>
    <row r="21" spans="2:11" ht="23.25" customHeight="1">
      <c r="B21" s="97" t="s">
        <v>24</v>
      </c>
      <c r="C21" s="98" t="s">
        <v>42</v>
      </c>
      <c r="D21" s="99">
        <f>D22+D33+D36+D37</f>
        <v>8597048</v>
      </c>
      <c r="E21" s="99">
        <f>E22+E33+E36+E37</f>
        <v>12005744.061772998</v>
      </c>
      <c r="F21" s="92">
        <f t="shared" si="0"/>
        <v>3408696.0617729984</v>
      </c>
      <c r="G21" s="100">
        <f t="shared" si="1"/>
        <v>139.64961067767678</v>
      </c>
      <c r="I21" s="109"/>
      <c r="J21" s="109"/>
    </row>
    <row r="22" spans="2:11" ht="25.5" customHeight="1">
      <c r="B22" s="97" t="s">
        <v>28</v>
      </c>
      <c r="C22" s="98" t="s">
        <v>569</v>
      </c>
      <c r="D22" s="99">
        <f>D23+D32</f>
        <v>7150317</v>
      </c>
      <c r="E22" s="99">
        <f>E23+E32</f>
        <v>6539335.5344669996</v>
      </c>
      <c r="F22" s="92">
        <f t="shared" si="0"/>
        <v>-610981.46553300042</v>
      </c>
      <c r="G22" s="100">
        <f t="shared" si="1"/>
        <v>91.455183517975485</v>
      </c>
      <c r="I22" s="109"/>
      <c r="J22" s="109"/>
    </row>
    <row r="23" spans="2:11" ht="25.5" customHeight="1">
      <c r="B23" s="97" t="s">
        <v>398</v>
      </c>
      <c r="C23" s="98" t="s">
        <v>570</v>
      </c>
      <c r="D23" s="99">
        <f>D24+D25+D26+D27+D28+D29+D30+D31</f>
        <v>7101917</v>
      </c>
      <c r="E23" s="99">
        <f>E24+E25+E26+E27+E28+E29+E30+E31</f>
        <v>6516398.5363989994</v>
      </c>
      <c r="F23" s="99">
        <f t="shared" ref="F23" si="2">F24+F25+F26+F27+F28+F29</f>
        <v>-620141.80648700055</v>
      </c>
      <c r="G23" s="100">
        <f t="shared" si="1"/>
        <v>91.755487094526728</v>
      </c>
      <c r="J23" s="109"/>
    </row>
    <row r="24" spans="2:11" ht="23.25" customHeight="1">
      <c r="B24" s="101">
        <v>1</v>
      </c>
      <c r="C24" s="102" t="s">
        <v>43</v>
      </c>
      <c r="D24" s="103">
        <v>808020</v>
      </c>
      <c r="E24" s="103">
        <f>'Bieu 51'!E10</f>
        <v>1127172.75397</v>
      </c>
      <c r="F24" s="91">
        <f t="shared" si="0"/>
        <v>319152.75396999996</v>
      </c>
      <c r="G24" s="104">
        <f t="shared" si="1"/>
        <v>139.49812553773421</v>
      </c>
      <c r="J24" s="109"/>
    </row>
    <row r="25" spans="2:11" ht="19.5" customHeight="1">
      <c r="B25" s="101">
        <v>2</v>
      </c>
      <c r="C25" s="102" t="s">
        <v>44</v>
      </c>
      <c r="D25" s="103">
        <v>4959919</v>
      </c>
      <c r="E25" s="103">
        <f>'Bieu 51'!E21</f>
        <v>5030942.4719049996</v>
      </c>
      <c r="F25" s="91">
        <f t="shared" si="0"/>
        <v>71023.471904999577</v>
      </c>
      <c r="G25" s="104">
        <f t="shared" si="1"/>
        <v>101.43194822143265</v>
      </c>
    </row>
    <row r="26" spans="2:11" ht="28.5" customHeight="1">
      <c r="B26" s="101">
        <v>3</v>
      </c>
      <c r="C26" s="102" t="s">
        <v>571</v>
      </c>
      <c r="D26" s="103">
        <v>2200</v>
      </c>
      <c r="E26" s="103">
        <f>'Bieu 51'!E25</f>
        <v>9699.7659999999996</v>
      </c>
      <c r="F26" s="91">
        <f t="shared" si="0"/>
        <v>7499.7659999999996</v>
      </c>
      <c r="G26" s="104">
        <f t="shared" si="1"/>
        <v>440.89845454545451</v>
      </c>
      <c r="J26" s="109"/>
      <c r="K26" s="109"/>
    </row>
    <row r="27" spans="2:11" ht="27" customHeight="1">
      <c r="B27" s="101">
        <v>4</v>
      </c>
      <c r="C27" s="102" t="s">
        <v>45</v>
      </c>
      <c r="D27" s="103">
        <v>1000</v>
      </c>
      <c r="E27" s="103">
        <f>'Bieu 51'!E26</f>
        <v>24154</v>
      </c>
      <c r="F27" s="91">
        <f t="shared" si="0"/>
        <v>23154</v>
      </c>
      <c r="G27" s="104">
        <f t="shared" si="1"/>
        <v>2415.4</v>
      </c>
    </row>
    <row r="28" spans="2:11" ht="21.75" customHeight="1">
      <c r="B28" s="101">
        <v>5</v>
      </c>
      <c r="C28" s="102" t="s">
        <v>46</v>
      </c>
      <c r="D28" s="103">
        <v>142038</v>
      </c>
      <c r="E28" s="103">
        <f>'Bieu 51'!E27</f>
        <v>0</v>
      </c>
      <c r="F28" s="91">
        <f t="shared" si="0"/>
        <v>-142038</v>
      </c>
      <c r="G28" s="104">
        <f t="shared" si="1"/>
        <v>0</v>
      </c>
    </row>
    <row r="29" spans="2:11" ht="36" customHeight="1">
      <c r="B29" s="101">
        <v>6</v>
      </c>
      <c r="C29" s="102" t="s">
        <v>475</v>
      </c>
      <c r="D29" s="103">
        <v>1188740</v>
      </c>
      <c r="E29" s="103">
        <f>'Bieu 51'!E28</f>
        <v>289806.20163799997</v>
      </c>
      <c r="F29" s="91">
        <f t="shared" si="0"/>
        <v>-898933.79836200003</v>
      </c>
      <c r="G29" s="104">
        <f t="shared" si="1"/>
        <v>24.379275673233842</v>
      </c>
    </row>
    <row r="30" spans="2:11" ht="36" customHeight="1">
      <c r="B30" s="101">
        <v>7</v>
      </c>
      <c r="C30" s="102" t="s">
        <v>717</v>
      </c>
      <c r="D30" s="103">
        <f>'Bieu 51'!D30</f>
        <v>0</v>
      </c>
      <c r="E30" s="103">
        <f>'Bieu 51'!E30</f>
        <v>23623.342885999999</v>
      </c>
      <c r="F30" s="91">
        <f t="shared" ref="F30:F31" si="3">E30-D30</f>
        <v>23623.342885999999</v>
      </c>
      <c r="G30" s="104">
        <f t="shared" ref="G30:G31" si="4">IF(D30=0, ,E30/D30*100)</f>
        <v>0</v>
      </c>
    </row>
    <row r="31" spans="2:11" ht="36" customHeight="1">
      <c r="B31" s="101">
        <v>8</v>
      </c>
      <c r="C31" s="102" t="s">
        <v>617</v>
      </c>
      <c r="D31" s="103">
        <f>'Bieu 51'!D29</f>
        <v>0</v>
      </c>
      <c r="E31" s="103">
        <f>'Bieu 51'!E29</f>
        <v>11000</v>
      </c>
      <c r="F31" s="91">
        <f t="shared" si="3"/>
        <v>11000</v>
      </c>
      <c r="G31" s="104">
        <f t="shared" si="4"/>
        <v>0</v>
      </c>
    </row>
    <row r="32" spans="2:11" s="16" customFormat="1" ht="36" customHeight="1">
      <c r="B32" s="97" t="s">
        <v>457</v>
      </c>
      <c r="C32" s="98" t="s">
        <v>527</v>
      </c>
      <c r="D32" s="99">
        <v>48400</v>
      </c>
      <c r="E32" s="99">
        <f>'Bieu 51'!E31</f>
        <v>22936.998068000001</v>
      </c>
      <c r="F32" s="92">
        <f t="shared" si="0"/>
        <v>-25463.001931999999</v>
      </c>
      <c r="G32" s="100">
        <f t="shared" si="1"/>
        <v>47.39049187603306</v>
      </c>
      <c r="J32" s="367"/>
    </row>
    <row r="33" spans="2:10" ht="27.75" customHeight="1">
      <c r="B33" s="97" t="s">
        <v>33</v>
      </c>
      <c r="C33" s="98" t="s">
        <v>47</v>
      </c>
      <c r="D33" s="99">
        <f>SUM(D34:D35)</f>
        <v>1446731</v>
      </c>
      <c r="E33" s="99">
        <f>E34+E35</f>
        <v>1389457.812434</v>
      </c>
      <c r="F33" s="92">
        <f t="shared" si="0"/>
        <v>-57273.187566000037</v>
      </c>
      <c r="G33" s="100">
        <f t="shared" si="1"/>
        <v>96.041199948988449</v>
      </c>
    </row>
    <row r="34" spans="2:10" ht="30" customHeight="1">
      <c r="B34" s="101">
        <v>1</v>
      </c>
      <c r="C34" s="102" t="s">
        <v>48</v>
      </c>
      <c r="D34" s="103">
        <f>'Bieu 51'!D34</f>
        <v>0</v>
      </c>
      <c r="E34" s="103">
        <f>'Bieu 51'!E33</f>
        <v>307765.92214800004</v>
      </c>
      <c r="F34" s="91">
        <f t="shared" si="0"/>
        <v>307765.92214800004</v>
      </c>
      <c r="G34" s="104">
        <f t="shared" si="1"/>
        <v>0</v>
      </c>
    </row>
    <row r="35" spans="2:10" ht="27.75" customHeight="1">
      <c r="B35" s="101">
        <v>2</v>
      </c>
      <c r="C35" s="102" t="s">
        <v>49</v>
      </c>
      <c r="D35" s="103">
        <v>1446731</v>
      </c>
      <c r="E35" s="103">
        <f>'Bieu 51'!E32-'Bieu 51'!E33</f>
        <v>1081691.890286</v>
      </c>
      <c r="F35" s="91">
        <f t="shared" si="0"/>
        <v>-365039.10971400002</v>
      </c>
      <c r="G35" s="104">
        <f t="shared" si="1"/>
        <v>74.768003885034602</v>
      </c>
    </row>
    <row r="36" spans="2:10" ht="32.25" customHeight="1">
      <c r="B36" s="97" t="s">
        <v>37</v>
      </c>
      <c r="C36" s="98" t="s">
        <v>50</v>
      </c>
      <c r="D36" s="99">
        <f>'Bieu 51'!D58</f>
        <v>0</v>
      </c>
      <c r="E36" s="99">
        <f>'Bieu 51'!E58</f>
        <v>3563988.770759</v>
      </c>
      <c r="F36" s="92">
        <f t="shared" si="0"/>
        <v>3563988.770759</v>
      </c>
      <c r="G36" s="100">
        <f t="shared" si="1"/>
        <v>0</v>
      </c>
    </row>
    <row r="37" spans="2:10" ht="32.25" customHeight="1">
      <c r="B37" s="97" t="s">
        <v>39</v>
      </c>
      <c r="C37" s="98" t="s">
        <v>476</v>
      </c>
      <c r="D37" s="99">
        <f>'Bieu 51'!D59</f>
        <v>0</v>
      </c>
      <c r="E37" s="99">
        <f>'Bieu 51'!E59</f>
        <v>512961.94411300001</v>
      </c>
      <c r="F37" s="92">
        <f t="shared" si="0"/>
        <v>512961.94411300001</v>
      </c>
      <c r="G37" s="100">
        <f t="shared" si="1"/>
        <v>0</v>
      </c>
    </row>
    <row r="38" spans="2:10" ht="32.25" customHeight="1">
      <c r="B38" s="97" t="s">
        <v>51</v>
      </c>
      <c r="C38" s="98" t="s">
        <v>618</v>
      </c>
      <c r="D38" s="99">
        <v>48400</v>
      </c>
      <c r="E38" s="99">
        <v>22937</v>
      </c>
      <c r="F38" s="92">
        <f t="shared" ref="F38" si="5">E38-D38</f>
        <v>-25463</v>
      </c>
      <c r="G38" s="100">
        <f t="shared" ref="G38" si="6">IF(D38=0, ,E38/D38*100)</f>
        <v>47.390495867768593</v>
      </c>
    </row>
    <row r="39" spans="2:10" ht="25.5" customHeight="1">
      <c r="B39" s="97" t="s">
        <v>52</v>
      </c>
      <c r="C39" s="98" t="s">
        <v>53</v>
      </c>
      <c r="D39" s="99">
        <v>8600</v>
      </c>
      <c r="E39" s="99">
        <v>8443</v>
      </c>
      <c r="F39" s="92">
        <f t="shared" si="0"/>
        <v>-157</v>
      </c>
      <c r="G39" s="100">
        <f t="shared" si="1"/>
        <v>98.174418604651166</v>
      </c>
    </row>
    <row r="40" spans="2:10" ht="19.5" customHeight="1">
      <c r="B40" s="97" t="s">
        <v>28</v>
      </c>
      <c r="C40" s="98" t="s">
        <v>54</v>
      </c>
      <c r="D40" s="99">
        <v>8600</v>
      </c>
      <c r="E40" s="99"/>
      <c r="F40" s="92">
        <f t="shared" si="0"/>
        <v>-8600</v>
      </c>
      <c r="G40" s="100">
        <f t="shared" si="1"/>
        <v>0</v>
      </c>
    </row>
    <row r="41" spans="2:10" ht="30" customHeight="1">
      <c r="B41" s="97" t="s">
        <v>33</v>
      </c>
      <c r="C41" s="98" t="s">
        <v>55</v>
      </c>
      <c r="D41" s="105"/>
      <c r="E41" s="105">
        <v>8443</v>
      </c>
      <c r="F41" s="106">
        <f t="shared" si="0"/>
        <v>8443</v>
      </c>
      <c r="G41" s="100">
        <f t="shared" si="1"/>
        <v>0</v>
      </c>
    </row>
    <row r="42" spans="2:10" ht="21" customHeight="1">
      <c r="B42" s="97" t="s">
        <v>56</v>
      </c>
      <c r="C42" s="98" t="s">
        <v>57</v>
      </c>
      <c r="D42" s="99">
        <v>57000</v>
      </c>
      <c r="E42" s="99">
        <v>22937</v>
      </c>
      <c r="F42" s="92">
        <f t="shared" si="0"/>
        <v>-34063</v>
      </c>
      <c r="G42" s="100">
        <f t="shared" si="1"/>
        <v>40.240350877192981</v>
      </c>
    </row>
    <row r="43" spans="2:10" ht="18" customHeight="1">
      <c r="B43" s="97" t="s">
        <v>28</v>
      </c>
      <c r="C43" s="98" t="s">
        <v>58</v>
      </c>
      <c r="D43" s="99">
        <v>48400</v>
      </c>
      <c r="E43" s="99">
        <v>22937</v>
      </c>
      <c r="F43" s="92">
        <f t="shared" si="0"/>
        <v>-25463</v>
      </c>
      <c r="G43" s="100">
        <f t="shared" si="1"/>
        <v>47.390495867768593</v>
      </c>
    </row>
    <row r="44" spans="2:10" ht="16.5" customHeight="1">
      <c r="B44" s="97" t="s">
        <v>33</v>
      </c>
      <c r="C44" s="98" t="s">
        <v>59</v>
      </c>
      <c r="D44" s="99">
        <v>8600</v>
      </c>
      <c r="E44" s="99"/>
      <c r="F44" s="92">
        <f t="shared" si="0"/>
        <v>-8600</v>
      </c>
      <c r="G44" s="100">
        <f t="shared" si="1"/>
        <v>0</v>
      </c>
    </row>
    <row r="45" spans="2:10" ht="33.75" customHeight="1">
      <c r="B45" s="107" t="s">
        <v>60</v>
      </c>
      <c r="C45" s="108" t="s">
        <v>61</v>
      </c>
      <c r="D45" s="149">
        <v>106043</v>
      </c>
      <c r="E45" s="150">
        <v>74527</v>
      </c>
      <c r="F45" s="151">
        <f t="shared" si="0"/>
        <v>-31516</v>
      </c>
      <c r="G45" s="152">
        <f t="shared" si="1"/>
        <v>70.279980762520864</v>
      </c>
      <c r="J45" s="109"/>
    </row>
    <row r="47" spans="2:10" ht="92.25" customHeight="1">
      <c r="B47" s="602" t="s">
        <v>561</v>
      </c>
      <c r="C47" s="602"/>
      <c r="D47" s="602"/>
      <c r="E47" s="602"/>
      <c r="F47" s="602"/>
      <c r="G47" s="602"/>
    </row>
    <row r="50" spans="5:5">
      <c r="E50" s="109"/>
    </row>
  </sheetData>
  <mergeCells count="10">
    <mergeCell ref="B47:G47"/>
    <mergeCell ref="F1:G1"/>
    <mergeCell ref="B2:G2"/>
    <mergeCell ref="B3:G3"/>
    <mergeCell ref="F4:G4"/>
    <mergeCell ref="B5:B6"/>
    <mergeCell ref="C5:C6"/>
    <mergeCell ref="D5:D6"/>
    <mergeCell ref="E5:E6"/>
    <mergeCell ref="F5:G5"/>
  </mergeCells>
  <pageMargins left="0.70866141732283472" right="0.31496062992125984"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Zeros="0" topLeftCell="B1" zoomScaleNormal="100" workbookViewId="0">
      <pane ySplit="7" topLeftCell="A8" activePane="bottomLeft" state="frozen"/>
      <selection pane="bottomLeft" activeCell="F79" sqref="F79"/>
    </sheetView>
  </sheetViews>
  <sheetFormatPr defaultColWidth="9.140625" defaultRowHeight="15" outlineLevelRow="1"/>
  <cols>
    <col min="1" max="1" width="9.140625" style="539"/>
    <col min="2" max="2" width="6.7109375" style="539" customWidth="1"/>
    <col min="3" max="3" width="46" style="539" customWidth="1"/>
    <col min="4" max="4" width="12.7109375" style="539" customWidth="1"/>
    <col min="5" max="5" width="11.7109375" style="539" customWidth="1"/>
    <col min="6" max="6" width="11.42578125" style="539" customWidth="1"/>
    <col min="7" max="7" width="11.7109375" style="539" customWidth="1"/>
    <col min="8" max="9" width="11.28515625" style="539" customWidth="1"/>
    <col min="10" max="10" width="9.140625" style="539"/>
    <col min="11" max="11" width="12.5703125" style="539" bestFit="1" customWidth="1"/>
    <col min="12" max="12" width="18.42578125" style="539" customWidth="1"/>
    <col min="13" max="16384" width="9.140625" style="539"/>
  </cols>
  <sheetData>
    <row r="1" spans="2:12">
      <c r="B1" s="538" t="s">
        <v>558</v>
      </c>
    </row>
    <row r="2" spans="2:12" ht="25.5" customHeight="1">
      <c r="B2" s="608" t="s">
        <v>642</v>
      </c>
      <c r="C2" s="608"/>
      <c r="D2" s="608"/>
      <c r="E2" s="608"/>
      <c r="F2" s="608"/>
      <c r="G2" s="608"/>
      <c r="H2" s="608"/>
      <c r="I2" s="608"/>
    </row>
    <row r="3" spans="2:12">
      <c r="B3" s="609" t="s">
        <v>641</v>
      </c>
      <c r="C3" s="609"/>
      <c r="D3" s="609"/>
      <c r="E3" s="609"/>
      <c r="F3" s="609"/>
      <c r="G3" s="609"/>
      <c r="H3" s="609"/>
      <c r="I3" s="609"/>
    </row>
    <row r="4" spans="2:12" hidden="1">
      <c r="B4" s="540"/>
      <c r="C4" s="541" t="s">
        <v>556</v>
      </c>
      <c r="D4" s="540"/>
      <c r="E4" s="540"/>
      <c r="F4" s="540"/>
      <c r="G4" s="540"/>
      <c r="H4" s="540"/>
      <c r="I4" s="540"/>
    </row>
    <row r="5" spans="2:12">
      <c r="C5" s="542"/>
      <c r="F5" s="543"/>
      <c r="G5" s="544"/>
      <c r="H5" s="610" t="s">
        <v>62</v>
      </c>
      <c r="I5" s="610"/>
    </row>
    <row r="6" spans="2:12">
      <c r="B6" s="611" t="s">
        <v>16</v>
      </c>
      <c r="C6" s="611" t="s">
        <v>63</v>
      </c>
      <c r="D6" s="611" t="s">
        <v>18</v>
      </c>
      <c r="E6" s="611"/>
      <c r="F6" s="611" t="s">
        <v>19</v>
      </c>
      <c r="G6" s="611"/>
      <c r="H6" s="611" t="s">
        <v>64</v>
      </c>
      <c r="I6" s="611"/>
    </row>
    <row r="7" spans="2:12" ht="25.5">
      <c r="B7" s="611"/>
      <c r="C7" s="611"/>
      <c r="D7" s="545" t="s">
        <v>65</v>
      </c>
      <c r="E7" s="545" t="s">
        <v>66</v>
      </c>
      <c r="F7" s="545" t="s">
        <v>65</v>
      </c>
      <c r="G7" s="545" t="s">
        <v>66</v>
      </c>
      <c r="H7" s="545" t="s">
        <v>65</v>
      </c>
      <c r="I7" s="545" t="s">
        <v>66</v>
      </c>
    </row>
    <row r="8" spans="2:12">
      <c r="B8" s="546" t="s">
        <v>23</v>
      </c>
      <c r="C8" s="546" t="s">
        <v>24</v>
      </c>
      <c r="D8" s="546">
        <v>1</v>
      </c>
      <c r="E8" s="546">
        <v>2</v>
      </c>
      <c r="F8" s="546">
        <v>3</v>
      </c>
      <c r="G8" s="546">
        <v>4</v>
      </c>
      <c r="H8" s="546" t="s">
        <v>67</v>
      </c>
      <c r="I8" s="546" t="s">
        <v>68</v>
      </c>
    </row>
    <row r="9" spans="2:12" ht="14.25" customHeight="1">
      <c r="B9" s="547"/>
      <c r="C9" s="548" t="s">
        <v>69</v>
      </c>
      <c r="D9" s="537">
        <f>D10+D77+D80+D81</f>
        <v>4000000</v>
      </c>
      <c r="E9" s="537">
        <f>E10+E77+E80+E81</f>
        <v>3498400</v>
      </c>
      <c r="F9" s="537">
        <f>F10+F77+F80+F81</f>
        <v>6450636.8871470001</v>
      </c>
      <c r="G9" s="537">
        <f>G10+G77+G80+G81</f>
        <v>5796492.3263140004</v>
      </c>
      <c r="H9" s="549">
        <f>IFERROR(F9/D9,"")</f>
        <v>1.6126592217867499</v>
      </c>
      <c r="I9" s="549">
        <f>IFERROR(G9/E9,"")</f>
        <v>1.656898103794306</v>
      </c>
      <c r="K9" s="550"/>
      <c r="L9" s="550"/>
    </row>
    <row r="10" spans="2:12" s="538" customFormat="1" ht="21" customHeight="1">
      <c r="B10" s="547" t="s">
        <v>23</v>
      </c>
      <c r="C10" s="548" t="s">
        <v>70</v>
      </c>
      <c r="D10" s="537">
        <f>D11+D68+D67+D75</f>
        <v>4000000</v>
      </c>
      <c r="E10" s="537">
        <f>E11+E68+E67+E75</f>
        <v>3498400</v>
      </c>
      <c r="F10" s="537">
        <f>F11+F68+F67+F75+F76</f>
        <v>4045348.805284</v>
      </c>
      <c r="G10" s="537">
        <f>G11+G68+G67+G75</f>
        <v>3516939.9031850002</v>
      </c>
      <c r="H10" s="549">
        <f t="shared" ref="H10:I81" si="0">IFERROR(F10/D10,"")</f>
        <v>1.011337201321</v>
      </c>
      <c r="I10" s="549">
        <f t="shared" si="0"/>
        <v>1.0052995378415848</v>
      </c>
      <c r="K10" s="551"/>
      <c r="L10" s="551"/>
    </row>
    <row r="11" spans="2:12" s="538" customFormat="1" ht="19.5" customHeight="1">
      <c r="B11" s="547" t="s">
        <v>28</v>
      </c>
      <c r="C11" s="548" t="s">
        <v>0</v>
      </c>
      <c r="D11" s="537">
        <f>D12+D18+D24+D27+D34+D35+D38+D39+D44+D45+D46+D47+D48+D49+D51+D52+D53+D54+D57+D66</f>
        <v>3730000</v>
      </c>
      <c r="E11" s="537">
        <f>E12+E18+E24+E27+E34+E35+E38+E39+E44+E45+E46+E47+E48+E49+E51+E52+E53+E54+E57+E66</f>
        <v>3498400</v>
      </c>
      <c r="F11" s="537">
        <f>F12+F18+F24+F27+F34+F35+F38+F39+F44+F45+F46+F47+F48+F49+F51+F52+F53+F54+F57</f>
        <v>3718944.9303890001</v>
      </c>
      <c r="G11" s="537">
        <f>G12+G18+G24+G27+G34+G35+G38+G39+G44+G45+G46+G47+G48+G49+G51+G52+G53+G54+G57</f>
        <v>3516639.9031850002</v>
      </c>
      <c r="H11" s="549">
        <f t="shared" si="0"/>
        <v>0.99703617436702419</v>
      </c>
      <c r="I11" s="549">
        <f t="shared" si="0"/>
        <v>1.0052137843542763</v>
      </c>
      <c r="K11" s="552"/>
      <c r="L11" s="551"/>
    </row>
    <row r="12" spans="2:12" s="538" customFormat="1" ht="24" customHeight="1">
      <c r="B12" s="547">
        <v>1</v>
      </c>
      <c r="C12" s="548" t="s">
        <v>71</v>
      </c>
      <c r="D12" s="537">
        <f>D13+D14+D15</f>
        <v>661000</v>
      </c>
      <c r="E12" s="537">
        <f>E13+E14+E15</f>
        <v>661000</v>
      </c>
      <c r="F12" s="537">
        <f t="shared" ref="F12:G12" si="1">F13+F14+F15</f>
        <v>815487.84840100002</v>
      </c>
      <c r="G12" s="537">
        <f t="shared" si="1"/>
        <v>815487.84840100002</v>
      </c>
      <c r="H12" s="549">
        <f t="shared" si="0"/>
        <v>1.2337183788214827</v>
      </c>
      <c r="I12" s="549">
        <f t="shared" si="0"/>
        <v>1.2337183788214827</v>
      </c>
      <c r="K12" s="552"/>
      <c r="L12" s="553"/>
    </row>
    <row r="13" spans="2:12" ht="18" customHeight="1">
      <c r="B13" s="554" t="s">
        <v>185</v>
      </c>
      <c r="C13" s="555" t="s">
        <v>189</v>
      </c>
      <c r="D13" s="556">
        <f>'[1]TT 342'!D14</f>
        <v>262000</v>
      </c>
      <c r="E13" s="556">
        <f>D13</f>
        <v>262000</v>
      </c>
      <c r="F13" s="556">
        <v>278116.82147700002</v>
      </c>
      <c r="G13" s="556">
        <f>F13</f>
        <v>278116.82147700002</v>
      </c>
      <c r="H13" s="557">
        <f t="shared" si="0"/>
        <v>1.0615145857900765</v>
      </c>
      <c r="I13" s="557">
        <f t="shared" si="0"/>
        <v>1.0615145857900765</v>
      </c>
      <c r="K13" s="543"/>
    </row>
    <row r="14" spans="2:12" ht="19.5" customHeight="1">
      <c r="B14" s="554" t="s">
        <v>186</v>
      </c>
      <c r="C14" s="555" t="s">
        <v>190</v>
      </c>
      <c r="D14" s="556">
        <f>'[1]TT 342'!D15</f>
        <v>8000</v>
      </c>
      <c r="E14" s="556">
        <f t="shared" ref="E14:E17" si="2">D14</f>
        <v>8000</v>
      </c>
      <c r="F14" s="556">
        <v>26127.561271999999</v>
      </c>
      <c r="G14" s="556">
        <f t="shared" ref="G14:G15" si="3">F14</f>
        <v>26127.561271999999</v>
      </c>
      <c r="H14" s="557">
        <f t="shared" si="0"/>
        <v>3.2659451589999997</v>
      </c>
      <c r="I14" s="557">
        <f t="shared" si="0"/>
        <v>3.2659451589999997</v>
      </c>
      <c r="L14" s="543"/>
    </row>
    <row r="15" spans="2:12" ht="19.5" customHeight="1">
      <c r="B15" s="554" t="s">
        <v>187</v>
      </c>
      <c r="C15" s="555" t="s">
        <v>191</v>
      </c>
      <c r="D15" s="556">
        <f>'[1]TT 342'!D16</f>
        <v>391000</v>
      </c>
      <c r="E15" s="556">
        <f t="shared" si="2"/>
        <v>391000</v>
      </c>
      <c r="F15" s="556">
        <v>511243.46565199998</v>
      </c>
      <c r="G15" s="556">
        <f t="shared" si="3"/>
        <v>511243.46565199998</v>
      </c>
      <c r="H15" s="557">
        <f t="shared" si="0"/>
        <v>1.30752804514578</v>
      </c>
      <c r="I15" s="557">
        <f t="shared" si="0"/>
        <v>1.30752804514578</v>
      </c>
    </row>
    <row r="16" spans="2:12" ht="19.5" customHeight="1">
      <c r="B16" s="558" t="s">
        <v>188</v>
      </c>
      <c r="C16" s="555" t="s">
        <v>192</v>
      </c>
      <c r="D16" s="556"/>
      <c r="E16" s="556">
        <f t="shared" si="2"/>
        <v>0</v>
      </c>
      <c r="F16" s="556"/>
      <c r="G16" s="556"/>
      <c r="H16" s="557" t="str">
        <f t="shared" si="0"/>
        <v/>
      </c>
      <c r="I16" s="557" t="str">
        <f t="shared" si="0"/>
        <v/>
      </c>
    </row>
    <row r="17" spans="2:9" ht="16.5" customHeight="1">
      <c r="B17" s="558" t="s">
        <v>188</v>
      </c>
      <c r="C17" s="555" t="s">
        <v>193</v>
      </c>
      <c r="D17" s="556"/>
      <c r="E17" s="556">
        <f t="shared" si="2"/>
        <v>0</v>
      </c>
      <c r="F17" s="556"/>
      <c r="G17" s="556"/>
      <c r="H17" s="557" t="str">
        <f t="shared" si="0"/>
        <v/>
      </c>
      <c r="I17" s="557" t="str">
        <f t="shared" si="0"/>
        <v/>
      </c>
    </row>
    <row r="18" spans="2:9" ht="19.5" customHeight="1">
      <c r="B18" s="547">
        <v>2</v>
      </c>
      <c r="C18" s="548" t="s">
        <v>73</v>
      </c>
      <c r="D18" s="537">
        <f>D19+D20+D21</f>
        <v>45000</v>
      </c>
      <c r="E18" s="537">
        <f>E19+E20+E21</f>
        <v>45000</v>
      </c>
      <c r="F18" s="537">
        <f t="shared" ref="F18:G18" si="4">F19+F20+F21</f>
        <v>50254.859936000001</v>
      </c>
      <c r="G18" s="537">
        <f t="shared" si="4"/>
        <v>50254.859936000001</v>
      </c>
      <c r="H18" s="549">
        <f t="shared" si="0"/>
        <v>1.1167746652444444</v>
      </c>
      <c r="I18" s="549">
        <f t="shared" si="0"/>
        <v>1.1167746652444444</v>
      </c>
    </row>
    <row r="19" spans="2:9">
      <c r="B19" s="554" t="s">
        <v>194</v>
      </c>
      <c r="C19" s="555" t="s">
        <v>189</v>
      </c>
      <c r="D19" s="556">
        <f>'[1]TT 342'!D18</f>
        <v>35000</v>
      </c>
      <c r="E19" s="556">
        <f>D19</f>
        <v>35000</v>
      </c>
      <c r="F19" s="556">
        <v>31997.012928</v>
      </c>
      <c r="G19" s="556">
        <f>F19</f>
        <v>31997.012928</v>
      </c>
      <c r="H19" s="557">
        <f t="shared" si="0"/>
        <v>0.91420036937142857</v>
      </c>
      <c r="I19" s="557">
        <f t="shared" si="0"/>
        <v>0.91420036937142857</v>
      </c>
    </row>
    <row r="20" spans="2:9">
      <c r="B20" s="554" t="s">
        <v>195</v>
      </c>
      <c r="C20" s="555" t="s">
        <v>190</v>
      </c>
      <c r="D20" s="556">
        <f>'[1]TT 342'!D19</f>
        <v>9000</v>
      </c>
      <c r="E20" s="556">
        <f t="shared" ref="E20:E23" si="5">D20</f>
        <v>9000</v>
      </c>
      <c r="F20" s="556">
        <v>17470.992511</v>
      </c>
      <c r="G20" s="556">
        <f t="shared" ref="G20:G21" si="6">F20</f>
        <v>17470.992511</v>
      </c>
      <c r="H20" s="557">
        <f t="shared" si="0"/>
        <v>1.9412213901111111</v>
      </c>
      <c r="I20" s="557">
        <f t="shared" si="0"/>
        <v>1.9412213901111111</v>
      </c>
    </row>
    <row r="21" spans="2:9">
      <c r="B21" s="554" t="s">
        <v>196</v>
      </c>
      <c r="C21" s="555" t="s">
        <v>191</v>
      </c>
      <c r="D21" s="556">
        <f>'[1]TT 342'!D21</f>
        <v>1000</v>
      </c>
      <c r="E21" s="556">
        <f t="shared" si="5"/>
        <v>1000</v>
      </c>
      <c r="F21" s="556">
        <v>786.85449699999992</v>
      </c>
      <c r="G21" s="556">
        <f t="shared" si="6"/>
        <v>786.85449699999992</v>
      </c>
      <c r="H21" s="557">
        <f t="shared" si="0"/>
        <v>0.78685449699999988</v>
      </c>
      <c r="I21" s="557">
        <f t="shared" si="0"/>
        <v>0.78685449699999988</v>
      </c>
    </row>
    <row r="22" spans="2:9">
      <c r="B22" s="558" t="s">
        <v>188</v>
      </c>
      <c r="C22" s="555" t="s">
        <v>197</v>
      </c>
      <c r="D22" s="556"/>
      <c r="E22" s="556">
        <f t="shared" si="5"/>
        <v>0</v>
      </c>
      <c r="F22" s="556"/>
      <c r="G22" s="556"/>
      <c r="H22" s="557" t="str">
        <f t="shared" si="0"/>
        <v/>
      </c>
      <c r="I22" s="557" t="str">
        <f t="shared" si="0"/>
        <v/>
      </c>
    </row>
    <row r="23" spans="2:9">
      <c r="B23" s="558" t="s">
        <v>188</v>
      </c>
      <c r="C23" s="555" t="s">
        <v>193</v>
      </c>
      <c r="D23" s="556"/>
      <c r="E23" s="556">
        <f t="shared" si="5"/>
        <v>0</v>
      </c>
      <c r="F23" s="556"/>
      <c r="G23" s="556"/>
      <c r="H23" s="557" t="str">
        <f t="shared" si="0"/>
        <v/>
      </c>
      <c r="I23" s="557" t="str">
        <f t="shared" si="0"/>
        <v/>
      </c>
    </row>
    <row r="24" spans="2:9" ht="25.5">
      <c r="B24" s="547">
        <v>3</v>
      </c>
      <c r="C24" s="548" t="s">
        <v>74</v>
      </c>
      <c r="D24" s="537">
        <f>D25+D26</f>
        <v>8000</v>
      </c>
      <c r="E24" s="537">
        <f>E25+E26</f>
        <v>8000</v>
      </c>
      <c r="F24" s="537">
        <f t="shared" ref="F24:G24" si="7">F25+F26</f>
        <v>6497.9467789999999</v>
      </c>
      <c r="G24" s="537">
        <f t="shared" si="7"/>
        <v>6497.9467789999999</v>
      </c>
      <c r="H24" s="549">
        <f t="shared" si="0"/>
        <v>0.81224334737500004</v>
      </c>
      <c r="I24" s="549">
        <f t="shared" si="0"/>
        <v>0.81224334737500004</v>
      </c>
    </row>
    <row r="25" spans="2:9">
      <c r="B25" s="554" t="s">
        <v>199</v>
      </c>
      <c r="C25" s="555" t="s">
        <v>189</v>
      </c>
      <c r="D25" s="556">
        <f>'[1]TT 342'!D24</f>
        <v>4000</v>
      </c>
      <c r="E25" s="556">
        <f>D25</f>
        <v>4000</v>
      </c>
      <c r="F25" s="556">
        <v>2382.2147489999998</v>
      </c>
      <c r="G25" s="556">
        <f>F25</f>
        <v>2382.2147489999998</v>
      </c>
      <c r="H25" s="557">
        <f t="shared" si="0"/>
        <v>0.59555368724999991</v>
      </c>
      <c r="I25" s="557">
        <f t="shared" si="0"/>
        <v>0.59555368724999991</v>
      </c>
    </row>
    <row r="26" spans="2:9">
      <c r="B26" s="554" t="s">
        <v>198</v>
      </c>
      <c r="C26" s="555" t="s">
        <v>190</v>
      </c>
      <c r="D26" s="556">
        <f>'[1]TT 342'!D25</f>
        <v>4000</v>
      </c>
      <c r="E26" s="556">
        <f>D26</f>
        <v>4000</v>
      </c>
      <c r="F26" s="556">
        <v>4115.7320300000001</v>
      </c>
      <c r="G26" s="556">
        <f>F26</f>
        <v>4115.7320300000001</v>
      </c>
      <c r="H26" s="557">
        <f t="shared" si="0"/>
        <v>1.0289330075000001</v>
      </c>
      <c r="I26" s="557">
        <f t="shared" si="0"/>
        <v>1.0289330075000001</v>
      </c>
    </row>
    <row r="27" spans="2:9">
      <c r="B27" s="547">
        <v>4</v>
      </c>
      <c r="C27" s="548" t="s">
        <v>75</v>
      </c>
      <c r="D27" s="537">
        <f>D28+D29+D30+D31</f>
        <v>790000</v>
      </c>
      <c r="E27" s="537">
        <f>E28+E29+E30+E31</f>
        <v>790000</v>
      </c>
      <c r="F27" s="537">
        <f t="shared" ref="F27:G27" si="8">F28+F29+F30+F31</f>
        <v>1161784.19224</v>
      </c>
      <c r="G27" s="537">
        <f t="shared" si="8"/>
        <v>1161784.19224</v>
      </c>
      <c r="H27" s="549">
        <f t="shared" si="0"/>
        <v>1.4706129015696203</v>
      </c>
      <c r="I27" s="549">
        <f t="shared" si="0"/>
        <v>1.4706129015696203</v>
      </c>
    </row>
    <row r="28" spans="2:9">
      <c r="B28" s="554" t="s">
        <v>200</v>
      </c>
      <c r="C28" s="555" t="s">
        <v>189</v>
      </c>
      <c r="D28" s="556">
        <f>'[1]TT 342'!D30</f>
        <v>586700</v>
      </c>
      <c r="E28" s="556">
        <f>D28</f>
        <v>586700</v>
      </c>
      <c r="F28" s="556">
        <v>799036.80481999996</v>
      </c>
      <c r="G28" s="556">
        <f>F28</f>
        <v>799036.80481999996</v>
      </c>
      <c r="H28" s="557">
        <f t="shared" si="0"/>
        <v>1.3619171720129537</v>
      </c>
      <c r="I28" s="557">
        <f t="shared" si="0"/>
        <v>1.3619171720129537</v>
      </c>
    </row>
    <row r="29" spans="2:9">
      <c r="B29" s="554" t="s">
        <v>201</v>
      </c>
      <c r="C29" s="555" t="s">
        <v>190</v>
      </c>
      <c r="D29" s="556">
        <f>'[1]TT 342'!D31</f>
        <v>35000</v>
      </c>
      <c r="E29" s="556">
        <f t="shared" ref="E29:E33" si="9">D29</f>
        <v>35000</v>
      </c>
      <c r="F29" s="556">
        <v>46024.422040999998</v>
      </c>
      <c r="G29" s="556">
        <f t="shared" ref="G29:G33" si="10">F29</f>
        <v>46024.422040999998</v>
      </c>
      <c r="H29" s="557">
        <f t="shared" si="0"/>
        <v>1.3149834868857142</v>
      </c>
      <c r="I29" s="557">
        <f t="shared" si="0"/>
        <v>1.3149834868857142</v>
      </c>
    </row>
    <row r="30" spans="2:9">
      <c r="B30" s="554" t="s">
        <v>202</v>
      </c>
      <c r="C30" s="555" t="s">
        <v>203</v>
      </c>
      <c r="D30" s="556">
        <f>'[1]TT 342'!D32</f>
        <v>3300</v>
      </c>
      <c r="E30" s="556">
        <f t="shared" si="9"/>
        <v>3300</v>
      </c>
      <c r="F30" s="556">
        <v>3971.148756</v>
      </c>
      <c r="G30" s="556">
        <f t="shared" si="10"/>
        <v>3971.148756</v>
      </c>
      <c r="H30" s="557">
        <f t="shared" si="0"/>
        <v>1.203378410909091</v>
      </c>
      <c r="I30" s="557">
        <f t="shared" si="0"/>
        <v>1.203378410909091</v>
      </c>
    </row>
    <row r="31" spans="2:9">
      <c r="B31" s="554" t="s">
        <v>204</v>
      </c>
      <c r="C31" s="555" t="s">
        <v>191</v>
      </c>
      <c r="D31" s="556">
        <f>'[1]TT 342'!D33</f>
        <v>165000</v>
      </c>
      <c r="E31" s="556">
        <f t="shared" si="9"/>
        <v>165000</v>
      </c>
      <c r="F31" s="556">
        <v>312751.81662300002</v>
      </c>
      <c r="G31" s="556">
        <f t="shared" si="10"/>
        <v>312751.81662300002</v>
      </c>
      <c r="H31" s="557">
        <f t="shared" si="0"/>
        <v>1.8954655552909092</v>
      </c>
      <c r="I31" s="557">
        <f t="shared" si="0"/>
        <v>1.8954655552909092</v>
      </c>
    </row>
    <row r="32" spans="2:9">
      <c r="B32" s="558" t="s">
        <v>188</v>
      </c>
      <c r="C32" s="555" t="s">
        <v>192</v>
      </c>
      <c r="D32" s="556"/>
      <c r="E32" s="556">
        <f t="shared" si="9"/>
        <v>0</v>
      </c>
      <c r="F32" s="556"/>
      <c r="G32" s="556">
        <f t="shared" si="10"/>
        <v>0</v>
      </c>
      <c r="H32" s="557" t="str">
        <f t="shared" si="0"/>
        <v/>
      </c>
      <c r="I32" s="557" t="str">
        <f t="shared" si="0"/>
        <v/>
      </c>
    </row>
    <row r="33" spans="2:12">
      <c r="B33" s="558" t="s">
        <v>188</v>
      </c>
      <c r="C33" s="555" t="s">
        <v>193</v>
      </c>
      <c r="D33" s="556"/>
      <c r="E33" s="556">
        <f t="shared" si="9"/>
        <v>0</v>
      </c>
      <c r="F33" s="556"/>
      <c r="G33" s="556">
        <f t="shared" si="10"/>
        <v>0</v>
      </c>
      <c r="H33" s="557" t="str">
        <f t="shared" si="0"/>
        <v/>
      </c>
      <c r="I33" s="557" t="str">
        <f t="shared" si="0"/>
        <v/>
      </c>
    </row>
    <row r="34" spans="2:12">
      <c r="B34" s="547">
        <v>5</v>
      </c>
      <c r="C34" s="548" t="s">
        <v>76</v>
      </c>
      <c r="D34" s="537">
        <f>'[1]TT 342'!D38</f>
        <v>95000</v>
      </c>
      <c r="E34" s="537">
        <f>D34</f>
        <v>95000</v>
      </c>
      <c r="F34" s="537">
        <v>172728.46309999999</v>
      </c>
      <c r="G34" s="537">
        <f>F34</f>
        <v>172728.46309999999</v>
      </c>
      <c r="H34" s="549">
        <f t="shared" si="0"/>
        <v>1.8181943484210525</v>
      </c>
      <c r="I34" s="549">
        <f t="shared" si="0"/>
        <v>1.8181943484210525</v>
      </c>
    </row>
    <row r="35" spans="2:12">
      <c r="B35" s="547">
        <v>6</v>
      </c>
      <c r="C35" s="548" t="s">
        <v>77</v>
      </c>
      <c r="D35" s="537">
        <f>D36+D37</f>
        <v>280000</v>
      </c>
      <c r="E35" s="537">
        <f>E36+E37</f>
        <v>134400</v>
      </c>
      <c r="F35" s="537">
        <v>175410.326443</v>
      </c>
      <c r="G35" s="537">
        <f>F35-91190.5</f>
        <v>84219.826442999998</v>
      </c>
      <c r="H35" s="549">
        <f t="shared" si="0"/>
        <v>0.62646545158214284</v>
      </c>
      <c r="I35" s="549">
        <f t="shared" si="0"/>
        <v>0.62663561341517859</v>
      </c>
    </row>
    <row r="36" spans="2:12" s="563" customFormat="1" ht="27.75" customHeight="1">
      <c r="B36" s="559" t="s">
        <v>30</v>
      </c>
      <c r="C36" s="560" t="s">
        <v>572</v>
      </c>
      <c r="D36" s="561">
        <f>'[1]TT 342'!D41</f>
        <v>134400</v>
      </c>
      <c r="E36" s="561">
        <f>D36</f>
        <v>134400</v>
      </c>
      <c r="F36" s="561">
        <v>43.605963000000003</v>
      </c>
      <c r="G36" s="561">
        <f>F36</f>
        <v>43.605963000000003</v>
      </c>
      <c r="H36" s="562">
        <f t="shared" si="0"/>
        <v>3.2444912946428574E-4</v>
      </c>
      <c r="I36" s="562">
        <f t="shared" si="0"/>
        <v>3.2444912946428574E-4</v>
      </c>
    </row>
    <row r="37" spans="2:12" s="563" customFormat="1">
      <c r="B37" s="559" t="s">
        <v>30</v>
      </c>
      <c r="C37" s="560" t="s">
        <v>573</v>
      </c>
      <c r="D37" s="561">
        <f>'[1]TT 342'!D40</f>
        <v>145600</v>
      </c>
      <c r="E37" s="561"/>
      <c r="F37" s="561">
        <f>'[1]TT 342'!E40</f>
        <v>0</v>
      </c>
      <c r="G37" s="561"/>
      <c r="H37" s="562">
        <f t="shared" si="0"/>
        <v>0</v>
      </c>
      <c r="I37" s="562" t="str">
        <f t="shared" si="0"/>
        <v/>
      </c>
    </row>
    <row r="38" spans="2:12">
      <c r="B38" s="547">
        <v>7</v>
      </c>
      <c r="C38" s="548" t="s">
        <v>78</v>
      </c>
      <c r="D38" s="537">
        <f>'[1]TT 342'!D35</f>
        <v>100000</v>
      </c>
      <c r="E38" s="537">
        <f>D38</f>
        <v>100000</v>
      </c>
      <c r="F38" s="537">
        <v>147043.43840300001</v>
      </c>
      <c r="G38" s="537">
        <f>F38</f>
        <v>147043.43840300001</v>
      </c>
      <c r="H38" s="549">
        <f t="shared" si="0"/>
        <v>1.47043438403</v>
      </c>
      <c r="I38" s="549">
        <f t="shared" si="0"/>
        <v>1.47043438403</v>
      </c>
    </row>
    <row r="39" spans="2:12">
      <c r="B39" s="547">
        <v>8</v>
      </c>
      <c r="C39" s="548" t="s">
        <v>79</v>
      </c>
      <c r="D39" s="537">
        <f>'[1]TT 342'!D42</f>
        <v>55000</v>
      </c>
      <c r="E39" s="537">
        <f>D39-D40</f>
        <v>47000</v>
      </c>
      <c r="F39" s="537">
        <f t="shared" ref="F39" si="11">SUM(F40:F43)</f>
        <v>60945.236761000007</v>
      </c>
      <c r="G39" s="537">
        <f>SUM(G40:G43)</f>
        <v>46192.209557000002</v>
      </c>
      <c r="H39" s="549">
        <f t="shared" si="0"/>
        <v>1.1080952138363638</v>
      </c>
      <c r="I39" s="549">
        <f t="shared" si="0"/>
        <v>0.98281296929787243</v>
      </c>
    </row>
    <row r="40" spans="2:12" s="563" customFormat="1">
      <c r="B40" s="559" t="s">
        <v>30</v>
      </c>
      <c r="C40" s="560" t="s">
        <v>80</v>
      </c>
      <c r="D40" s="561">
        <f>'[1]TT 342'!D43</f>
        <v>8000</v>
      </c>
      <c r="E40" s="561"/>
      <c r="F40" s="561">
        <v>15080.479644999999</v>
      </c>
      <c r="G40" s="561">
        <f>'[1]TT 342'!H43+'[1]TT 342'!I43</f>
        <v>327.45244100000002</v>
      </c>
      <c r="H40" s="562">
        <f t="shared" si="0"/>
        <v>1.8850599556249998</v>
      </c>
      <c r="I40" s="549" t="str">
        <f t="shared" si="0"/>
        <v/>
      </c>
    </row>
    <row r="41" spans="2:12" s="563" customFormat="1">
      <c r="B41" s="559" t="s">
        <v>30</v>
      </c>
      <c r="C41" s="560" t="s">
        <v>730</v>
      </c>
      <c r="D41" s="561"/>
      <c r="E41" s="561"/>
      <c r="F41" s="561">
        <v>22742.155186</v>
      </c>
      <c r="G41" s="561">
        <f>F41</f>
        <v>22742.155186</v>
      </c>
      <c r="H41" s="562" t="str">
        <f t="shared" si="0"/>
        <v/>
      </c>
      <c r="I41" s="562" t="str">
        <f t="shared" si="0"/>
        <v/>
      </c>
    </row>
    <row r="42" spans="2:12" s="563" customFormat="1">
      <c r="B42" s="559" t="s">
        <v>30</v>
      </c>
      <c r="C42" s="560" t="s">
        <v>81</v>
      </c>
      <c r="D42" s="561"/>
      <c r="E42" s="561">
        <f>D42</f>
        <v>0</v>
      </c>
      <c r="F42" s="561">
        <v>11567.772257000001</v>
      </c>
      <c r="G42" s="561">
        <f t="shared" ref="G42:G43" si="12">F42</f>
        <v>11567.772257000001</v>
      </c>
      <c r="H42" s="562" t="str">
        <f t="shared" si="0"/>
        <v/>
      </c>
      <c r="I42" s="562" t="str">
        <f t="shared" si="0"/>
        <v/>
      </c>
    </row>
    <row r="43" spans="2:12" s="563" customFormat="1">
      <c r="B43" s="559" t="s">
        <v>30</v>
      </c>
      <c r="C43" s="560" t="s">
        <v>82</v>
      </c>
      <c r="D43" s="561"/>
      <c r="E43" s="561"/>
      <c r="F43" s="561">
        <v>11554.829673</v>
      </c>
      <c r="G43" s="561">
        <f t="shared" si="12"/>
        <v>11554.829673</v>
      </c>
      <c r="H43" s="562" t="str">
        <f t="shared" si="0"/>
        <v/>
      </c>
      <c r="I43" s="562" t="str">
        <f t="shared" si="0"/>
        <v/>
      </c>
    </row>
    <row r="44" spans="2:12">
      <c r="B44" s="547">
        <v>9</v>
      </c>
      <c r="C44" s="548" t="s">
        <v>83</v>
      </c>
      <c r="D44" s="537">
        <f>'[1]TT 342'!D36</f>
        <v>0</v>
      </c>
      <c r="E44" s="537">
        <f>D44</f>
        <v>0</v>
      </c>
      <c r="F44" s="537">
        <v>272.74244299999998</v>
      </c>
      <c r="G44" s="537">
        <f>F44</f>
        <v>272.74244299999998</v>
      </c>
      <c r="H44" s="549" t="str">
        <f t="shared" si="0"/>
        <v/>
      </c>
      <c r="I44" s="549" t="str">
        <f t="shared" si="0"/>
        <v/>
      </c>
    </row>
    <row r="45" spans="2:12">
      <c r="B45" s="547">
        <v>10</v>
      </c>
      <c r="C45" s="548" t="s">
        <v>84</v>
      </c>
      <c r="D45" s="537">
        <f>'[1]TT 342'!D37</f>
        <v>3300</v>
      </c>
      <c r="E45" s="537">
        <f>D45</f>
        <v>3300</v>
      </c>
      <c r="F45" s="537">
        <v>3501.4469159999999</v>
      </c>
      <c r="G45" s="537">
        <f t="shared" ref="G45:G50" si="13">F45</f>
        <v>3501.4469159999999</v>
      </c>
      <c r="H45" s="549">
        <f t="shared" si="0"/>
        <v>1.06104452</v>
      </c>
      <c r="I45" s="549">
        <f t="shared" si="0"/>
        <v>1.06104452</v>
      </c>
    </row>
    <row r="46" spans="2:12">
      <c r="B46" s="547">
        <v>11</v>
      </c>
      <c r="C46" s="548" t="s">
        <v>85</v>
      </c>
      <c r="D46" s="537">
        <f>'[1]TT 342'!D47</f>
        <v>22000</v>
      </c>
      <c r="E46" s="537">
        <f>D46</f>
        <v>22000</v>
      </c>
      <c r="F46" s="537">
        <f>77578-F62-F63</f>
        <v>61434.7</v>
      </c>
      <c r="G46" s="537">
        <f>F46</f>
        <v>61434.7</v>
      </c>
      <c r="H46" s="549">
        <f t="shared" si="0"/>
        <v>2.7924863636363635</v>
      </c>
      <c r="I46" s="549">
        <f t="shared" si="0"/>
        <v>2.7924863636363635</v>
      </c>
      <c r="L46" s="543"/>
    </row>
    <row r="47" spans="2:12">
      <c r="B47" s="547">
        <v>12</v>
      </c>
      <c r="C47" s="548" t="s">
        <v>86</v>
      </c>
      <c r="D47" s="537">
        <f>'[1]TT 342'!C45</f>
        <v>235000</v>
      </c>
      <c r="E47" s="537">
        <f>D47</f>
        <v>235000</v>
      </c>
      <c r="F47" s="537">
        <v>256767.31613699999</v>
      </c>
      <c r="G47" s="537">
        <f t="shared" si="13"/>
        <v>256767.31613699999</v>
      </c>
      <c r="H47" s="549">
        <f t="shared" si="0"/>
        <v>1.0926268771787233</v>
      </c>
      <c r="I47" s="549">
        <f t="shared" si="0"/>
        <v>1.0926268771787233</v>
      </c>
      <c r="J47" s="543"/>
      <c r="K47" s="543"/>
    </row>
    <row r="48" spans="2:12" ht="17.25" customHeight="1">
      <c r="B48" s="547">
        <v>13</v>
      </c>
      <c r="C48" s="548" t="s">
        <v>87</v>
      </c>
      <c r="D48" s="537"/>
      <c r="E48" s="537"/>
      <c r="F48" s="537">
        <v>266.352889</v>
      </c>
      <c r="G48" s="537">
        <f t="shared" si="13"/>
        <v>266.352889</v>
      </c>
      <c r="H48" s="549" t="str">
        <f t="shared" si="0"/>
        <v/>
      </c>
      <c r="I48" s="549" t="str">
        <f t="shared" si="0"/>
        <v/>
      </c>
      <c r="K48" s="543"/>
    </row>
    <row r="49" spans="2:12">
      <c r="B49" s="547">
        <v>14</v>
      </c>
      <c r="C49" s="548" t="s">
        <v>88</v>
      </c>
      <c r="D49" s="537">
        <f>'[1]TT 342'!D56</f>
        <v>60000</v>
      </c>
      <c r="E49" s="537">
        <f>D49</f>
        <v>60000</v>
      </c>
      <c r="F49" s="537">
        <v>118229.16923799999</v>
      </c>
      <c r="G49" s="537">
        <f t="shared" si="13"/>
        <v>118229.16923799999</v>
      </c>
      <c r="H49" s="549">
        <f t="shared" si="0"/>
        <v>1.9704861539666665</v>
      </c>
      <c r="I49" s="549">
        <f t="shared" si="0"/>
        <v>1.9704861539666665</v>
      </c>
      <c r="K49" s="543"/>
    </row>
    <row r="50" spans="2:12" hidden="1">
      <c r="B50" s="548"/>
      <c r="C50" s="548" t="s">
        <v>72</v>
      </c>
      <c r="D50" s="564"/>
      <c r="E50" s="537">
        <f t="shared" ref="E50" si="14">D50</f>
        <v>0</v>
      </c>
      <c r="F50" s="564"/>
      <c r="G50" s="537">
        <f t="shared" si="13"/>
        <v>0</v>
      </c>
      <c r="H50" s="549" t="str">
        <f t="shared" si="0"/>
        <v/>
      </c>
      <c r="I50" s="549" t="str">
        <f t="shared" si="0"/>
        <v/>
      </c>
    </row>
    <row r="51" spans="2:12" ht="15.75" customHeight="1">
      <c r="B51" s="547">
        <v>15</v>
      </c>
      <c r="C51" s="548" t="s">
        <v>89</v>
      </c>
      <c r="D51" s="537">
        <f>'[1]TT 342'!D51</f>
        <v>90000</v>
      </c>
      <c r="E51" s="537">
        <v>34000</v>
      </c>
      <c r="F51" s="537">
        <v>102703.65644200001</v>
      </c>
      <c r="G51" s="537">
        <f>F51-59247</f>
        <v>43456.656442000007</v>
      </c>
      <c r="H51" s="549">
        <f t="shared" si="0"/>
        <v>1.1411517382444445</v>
      </c>
      <c r="I51" s="549">
        <f t="shared" si="0"/>
        <v>1.2781369541764709</v>
      </c>
    </row>
    <row r="52" spans="2:12">
      <c r="B52" s="547">
        <v>16</v>
      </c>
      <c r="C52" s="548" t="s">
        <v>90</v>
      </c>
      <c r="D52" s="537">
        <f>'[1]TT 342'!D49</f>
        <v>70000</v>
      </c>
      <c r="E52" s="537">
        <v>48000</v>
      </c>
      <c r="F52" s="537">
        <f>80850-F65</f>
        <v>70699</v>
      </c>
      <c r="G52" s="537">
        <f>F52-37114.5</f>
        <v>33584.5</v>
      </c>
      <c r="H52" s="549">
        <f t="shared" si="0"/>
        <v>1.0099857142857143</v>
      </c>
      <c r="I52" s="549">
        <f t="shared" si="0"/>
        <v>0.69967708333333334</v>
      </c>
    </row>
    <row r="53" spans="2:12" ht="16.5" customHeight="1">
      <c r="B53" s="547">
        <v>17</v>
      </c>
      <c r="C53" s="548" t="s">
        <v>91</v>
      </c>
      <c r="D53" s="537">
        <f>'[1]TT 342'!D54</f>
        <v>700</v>
      </c>
      <c r="E53" s="537">
        <f>D53</f>
        <v>700</v>
      </c>
      <c r="F53" s="537">
        <v>1433.847933</v>
      </c>
      <c r="G53" s="537">
        <f>F53</f>
        <v>1433.847933</v>
      </c>
      <c r="H53" s="549">
        <f t="shared" si="0"/>
        <v>2.04835419</v>
      </c>
      <c r="I53" s="549">
        <f t="shared" si="0"/>
        <v>2.04835419</v>
      </c>
      <c r="K53" s="543"/>
    </row>
    <row r="54" spans="2:12">
      <c r="B54" s="547">
        <v>18</v>
      </c>
      <c r="C54" s="548" t="s">
        <v>92</v>
      </c>
      <c r="D54" s="537">
        <f>'[1]TT 342'!D55</f>
        <v>2000</v>
      </c>
      <c r="E54" s="537">
        <f>D54</f>
        <v>2000</v>
      </c>
      <c r="F54" s="537">
        <v>2196.0863279999999</v>
      </c>
      <c r="G54" s="537">
        <f>F54</f>
        <v>2196.0863279999999</v>
      </c>
      <c r="H54" s="549">
        <f t="shared" si="0"/>
        <v>1.0980431639999999</v>
      </c>
      <c r="I54" s="549">
        <f t="shared" si="0"/>
        <v>1.0980431639999999</v>
      </c>
    </row>
    <row r="55" spans="2:12" ht="37.5" customHeight="1">
      <c r="B55" s="547">
        <v>19</v>
      </c>
      <c r="C55" s="548" t="s">
        <v>93</v>
      </c>
      <c r="D55" s="537"/>
      <c r="E55" s="537"/>
      <c r="F55" s="537"/>
      <c r="G55" s="537"/>
      <c r="H55" s="549" t="str">
        <f t="shared" si="0"/>
        <v/>
      </c>
      <c r="I55" s="549" t="str">
        <f t="shared" si="0"/>
        <v/>
      </c>
    </row>
    <row r="56" spans="2:12" ht="20.25" customHeight="1">
      <c r="B56" s="547">
        <v>20</v>
      </c>
      <c r="C56" s="548" t="s">
        <v>94</v>
      </c>
      <c r="D56" s="537"/>
      <c r="E56" s="537"/>
      <c r="F56" s="537"/>
      <c r="G56" s="537"/>
      <c r="H56" s="549" t="str">
        <f t="shared" si="0"/>
        <v/>
      </c>
      <c r="I56" s="549" t="str">
        <f t="shared" si="0"/>
        <v/>
      </c>
    </row>
    <row r="57" spans="2:12" ht="38.25">
      <c r="B57" s="547">
        <v>21</v>
      </c>
      <c r="C57" s="548" t="s">
        <v>500</v>
      </c>
      <c r="D57" s="537">
        <v>1213000</v>
      </c>
      <c r="E57" s="537">
        <f>D57</f>
        <v>1213000</v>
      </c>
      <c r="F57" s="537">
        <f>F59+F60+F61+F62+F63+F64+F65</f>
        <v>511288.3</v>
      </c>
      <c r="G57" s="537">
        <f>SUM(G59:G65)</f>
        <v>511288.3</v>
      </c>
      <c r="H57" s="549">
        <f t="shared" si="0"/>
        <v>0.42150725474031325</v>
      </c>
      <c r="I57" s="549">
        <f t="shared" si="0"/>
        <v>0.42150725474031325</v>
      </c>
      <c r="K57" s="565"/>
      <c r="L57" s="566"/>
    </row>
    <row r="58" spans="2:12" s="563" customFormat="1" outlineLevel="1">
      <c r="B58" s="559" t="s">
        <v>523</v>
      </c>
      <c r="C58" s="560" t="s">
        <v>123</v>
      </c>
      <c r="D58" s="561"/>
      <c r="E58" s="561"/>
      <c r="F58" s="561"/>
      <c r="G58" s="561"/>
      <c r="H58" s="562"/>
      <c r="I58" s="562"/>
    </row>
    <row r="59" spans="2:12" s="563" customFormat="1" ht="25.5" outlineLevel="1">
      <c r="B59" s="567" t="s">
        <v>30</v>
      </c>
      <c r="C59" s="560" t="s">
        <v>557</v>
      </c>
      <c r="D59" s="561"/>
      <c r="E59" s="561"/>
      <c r="F59" s="561">
        <v>701</v>
      </c>
      <c r="G59" s="561">
        <f>F59</f>
        <v>701</v>
      </c>
      <c r="H59" s="562"/>
      <c r="I59" s="562"/>
    </row>
    <row r="60" spans="2:12" s="563" customFormat="1" ht="38.25" outlineLevel="1">
      <c r="B60" s="567" t="s">
        <v>30</v>
      </c>
      <c r="C60" s="560" t="s">
        <v>612</v>
      </c>
      <c r="D60" s="561"/>
      <c r="E60" s="561"/>
      <c r="F60" s="561">
        <v>352782</v>
      </c>
      <c r="G60" s="561">
        <f>F60</f>
        <v>352782</v>
      </c>
      <c r="H60" s="562"/>
      <c r="I60" s="562"/>
    </row>
    <row r="61" spans="2:12" s="563" customFormat="1" ht="18.75" customHeight="1" outlineLevel="1">
      <c r="B61" s="567" t="s">
        <v>30</v>
      </c>
      <c r="C61" s="560" t="s">
        <v>731</v>
      </c>
      <c r="D61" s="561"/>
      <c r="E61" s="561"/>
      <c r="F61" s="561">
        <v>88637</v>
      </c>
      <c r="G61" s="561">
        <f>F61</f>
        <v>88637</v>
      </c>
      <c r="H61" s="562"/>
      <c r="I61" s="562"/>
    </row>
    <row r="62" spans="2:12" s="563" customFormat="1" ht="38.25" outlineLevel="1">
      <c r="B62" s="567" t="s">
        <v>30</v>
      </c>
      <c r="C62" s="560" t="s">
        <v>613</v>
      </c>
      <c r="D62" s="561"/>
      <c r="E62" s="561"/>
      <c r="F62" s="561">
        <v>3669.3</v>
      </c>
      <c r="G62" s="561">
        <f>F62</f>
        <v>3669.3</v>
      </c>
      <c r="H62" s="562"/>
      <c r="I62" s="562"/>
      <c r="K62" s="568"/>
    </row>
    <row r="63" spans="2:12" outlineLevel="1">
      <c r="B63" s="569" t="s">
        <v>30</v>
      </c>
      <c r="C63" s="560" t="s">
        <v>732</v>
      </c>
      <c r="D63" s="537"/>
      <c r="E63" s="537"/>
      <c r="F63" s="561">
        <v>12474</v>
      </c>
      <c r="G63" s="561">
        <f t="shared" ref="G63:G65" si="15">F63</f>
        <v>12474</v>
      </c>
      <c r="H63" s="549"/>
      <c r="I63" s="549"/>
    </row>
    <row r="64" spans="2:12" s="563" customFormat="1" outlineLevel="1">
      <c r="B64" s="567" t="s">
        <v>30</v>
      </c>
      <c r="C64" s="560" t="s">
        <v>614</v>
      </c>
      <c r="D64" s="561"/>
      <c r="E64" s="561"/>
      <c r="F64" s="561">
        <v>42874</v>
      </c>
      <c r="G64" s="561">
        <f t="shared" si="15"/>
        <v>42874</v>
      </c>
      <c r="H64" s="562"/>
      <c r="I64" s="562"/>
    </row>
    <row r="65" spans="2:9" ht="25.5" outlineLevel="1">
      <c r="B65" s="547"/>
      <c r="C65" s="560" t="s">
        <v>615</v>
      </c>
      <c r="D65" s="537"/>
      <c r="E65" s="537"/>
      <c r="F65" s="561">
        <v>10151</v>
      </c>
      <c r="G65" s="561">
        <f t="shared" si="15"/>
        <v>10151</v>
      </c>
      <c r="H65" s="549"/>
      <c r="I65" s="549"/>
    </row>
    <row r="66" spans="2:9" ht="20.25" customHeight="1">
      <c r="B66" s="547">
        <v>22</v>
      </c>
      <c r="C66" s="548" t="s">
        <v>616</v>
      </c>
      <c r="D66" s="537">
        <f>'[1]TT 342'!D57</f>
        <v>0</v>
      </c>
      <c r="E66" s="537">
        <f>D66</f>
        <v>0</v>
      </c>
      <c r="F66" s="537"/>
      <c r="G66" s="537"/>
      <c r="H66" s="549" t="str">
        <f t="shared" ref="H66:I66" si="16">IFERROR(F66/D66,"")</f>
        <v/>
      </c>
      <c r="I66" s="549" t="str">
        <f t="shared" si="16"/>
        <v/>
      </c>
    </row>
    <row r="67" spans="2:9">
      <c r="B67" s="547" t="s">
        <v>33</v>
      </c>
      <c r="C67" s="548" t="s">
        <v>95</v>
      </c>
      <c r="D67" s="556"/>
      <c r="E67" s="556"/>
      <c r="F67" s="556"/>
      <c r="G67" s="556"/>
      <c r="H67" s="549" t="str">
        <f t="shared" si="0"/>
        <v/>
      </c>
      <c r="I67" s="549" t="str">
        <f t="shared" si="0"/>
        <v/>
      </c>
    </row>
    <row r="68" spans="2:9">
      <c r="B68" s="547" t="s">
        <v>37</v>
      </c>
      <c r="C68" s="548" t="s">
        <v>96</v>
      </c>
      <c r="D68" s="537">
        <f>SUM(D69:D74)</f>
        <v>270000</v>
      </c>
      <c r="E68" s="537">
        <f t="shared" ref="E68:G68" si="17">SUM(E69:E74)</f>
        <v>0</v>
      </c>
      <c r="F68" s="537">
        <f t="shared" si="17"/>
        <v>326103.87489500002</v>
      </c>
      <c r="G68" s="537">
        <f t="shared" si="17"/>
        <v>0</v>
      </c>
      <c r="H68" s="549">
        <f t="shared" si="0"/>
        <v>1.2077921292407408</v>
      </c>
      <c r="I68" s="549" t="str">
        <f t="shared" si="0"/>
        <v/>
      </c>
    </row>
    <row r="69" spans="2:9">
      <c r="B69" s="554">
        <v>1</v>
      </c>
      <c r="C69" s="555" t="s">
        <v>97</v>
      </c>
      <c r="D69" s="556">
        <f>'[1]TT 342'!D59</f>
        <v>4500</v>
      </c>
      <c r="E69" s="556"/>
      <c r="F69" s="556">
        <f>'[1]TT 342'!E59</f>
        <v>6968.4344369999999</v>
      </c>
      <c r="G69" s="556"/>
      <c r="H69" s="557">
        <f t="shared" si="0"/>
        <v>1.5485409859999999</v>
      </c>
      <c r="I69" s="557" t="str">
        <f t="shared" si="0"/>
        <v/>
      </c>
    </row>
    <row r="70" spans="2:9">
      <c r="B70" s="554">
        <v>2</v>
      </c>
      <c r="C70" s="555" t="s">
        <v>98</v>
      </c>
      <c r="D70" s="556">
        <f>'[1]TT 342'!D60</f>
        <v>3640</v>
      </c>
      <c r="E70" s="556"/>
      <c r="F70" s="556">
        <f>'[1]TT 342'!E60</f>
        <v>7435.2183779999996</v>
      </c>
      <c r="G70" s="556"/>
      <c r="H70" s="557">
        <f t="shared" si="0"/>
        <v>2.0426424115384614</v>
      </c>
      <c r="I70" s="557" t="str">
        <f t="shared" si="0"/>
        <v/>
      </c>
    </row>
    <row r="71" spans="2:9" ht="19.5" customHeight="1">
      <c r="B71" s="554">
        <v>3</v>
      </c>
      <c r="C71" s="555" t="s">
        <v>99</v>
      </c>
      <c r="D71" s="556">
        <f>'[1]TT 342'!D61</f>
        <v>0</v>
      </c>
      <c r="E71" s="556"/>
      <c r="F71" s="556"/>
      <c r="G71" s="556"/>
      <c r="H71" s="557" t="str">
        <f t="shared" si="0"/>
        <v/>
      </c>
      <c r="I71" s="557" t="str">
        <f t="shared" si="0"/>
        <v/>
      </c>
    </row>
    <row r="72" spans="2:9" ht="14.25" customHeight="1">
      <c r="B72" s="554">
        <v>4</v>
      </c>
      <c r="C72" s="555" t="s">
        <v>100</v>
      </c>
      <c r="D72" s="556">
        <f>'[1]TT 342'!D62</f>
        <v>261860</v>
      </c>
      <c r="E72" s="556"/>
      <c r="F72" s="556">
        <f>'[1]TT 342'!E63</f>
        <v>0.18809999999999999</v>
      </c>
      <c r="G72" s="556"/>
      <c r="H72" s="557">
        <f t="shared" si="0"/>
        <v>7.1832276789123956E-7</v>
      </c>
      <c r="I72" s="557" t="str">
        <f t="shared" si="0"/>
        <v/>
      </c>
    </row>
    <row r="73" spans="2:9" ht="15" customHeight="1">
      <c r="B73" s="554">
        <v>5</v>
      </c>
      <c r="C73" s="555" t="s">
        <v>101</v>
      </c>
      <c r="D73" s="556">
        <f>'[1]TT 342'!D63</f>
        <v>0</v>
      </c>
      <c r="E73" s="556"/>
      <c r="F73" s="556">
        <f>'[1]TT 342'!E62</f>
        <v>311046.13649100001</v>
      </c>
      <c r="G73" s="556"/>
      <c r="H73" s="557" t="str">
        <f t="shared" si="0"/>
        <v/>
      </c>
      <c r="I73" s="557" t="str">
        <f t="shared" si="0"/>
        <v/>
      </c>
    </row>
    <row r="74" spans="2:9">
      <c r="B74" s="554">
        <v>6</v>
      </c>
      <c r="C74" s="555" t="s">
        <v>102</v>
      </c>
      <c r="D74" s="556">
        <f>'[1]TT 342'!D64</f>
        <v>0</v>
      </c>
      <c r="E74" s="556"/>
      <c r="F74" s="556">
        <f>'[1]TT 342'!E64</f>
        <v>653.89748899999995</v>
      </c>
      <c r="G74" s="556"/>
      <c r="H74" s="557" t="str">
        <f t="shared" si="0"/>
        <v/>
      </c>
      <c r="I74" s="557" t="str">
        <f t="shared" si="0"/>
        <v/>
      </c>
    </row>
    <row r="75" spans="2:9" s="538" customFormat="1" ht="14.25">
      <c r="B75" s="547" t="s">
        <v>39</v>
      </c>
      <c r="C75" s="548" t="s">
        <v>501</v>
      </c>
      <c r="D75" s="537"/>
      <c r="E75" s="537"/>
      <c r="F75" s="537">
        <f>'[1]TT 342'!E66</f>
        <v>300</v>
      </c>
      <c r="G75" s="537">
        <f>F75</f>
        <v>300</v>
      </c>
      <c r="H75" s="549" t="str">
        <f t="shared" si="0"/>
        <v/>
      </c>
      <c r="I75" s="549" t="str">
        <f t="shared" si="0"/>
        <v/>
      </c>
    </row>
    <row r="76" spans="2:9" s="538" customFormat="1" ht="14.25">
      <c r="B76" s="547" t="s">
        <v>40</v>
      </c>
      <c r="C76" s="548" t="s">
        <v>38</v>
      </c>
      <c r="D76" s="537"/>
      <c r="E76" s="537"/>
      <c r="F76" s="537">
        <f>'[1]TT 342'!E65</f>
        <v>0</v>
      </c>
      <c r="G76" s="537"/>
      <c r="H76" s="549" t="str">
        <f t="shared" si="0"/>
        <v/>
      </c>
      <c r="I76" s="549" t="str">
        <f t="shared" si="0"/>
        <v/>
      </c>
    </row>
    <row r="77" spans="2:9" ht="21" customHeight="1">
      <c r="B77" s="547" t="s">
        <v>24</v>
      </c>
      <c r="C77" s="548" t="s">
        <v>574</v>
      </c>
      <c r="D77" s="556"/>
      <c r="E77" s="556"/>
      <c r="F77" s="537">
        <f>F78+F79</f>
        <v>148672.65680200001</v>
      </c>
      <c r="G77" s="537">
        <f>G78+G79</f>
        <v>22936.998068000001</v>
      </c>
      <c r="H77" s="549" t="str">
        <f t="shared" si="0"/>
        <v/>
      </c>
      <c r="I77" s="549" t="str">
        <f t="shared" si="0"/>
        <v/>
      </c>
    </row>
    <row r="78" spans="2:9" ht="21" customHeight="1">
      <c r="B78" s="570" t="s">
        <v>28</v>
      </c>
      <c r="C78" s="571" t="s">
        <v>575</v>
      </c>
      <c r="D78" s="556"/>
      <c r="E78" s="556"/>
      <c r="F78" s="556">
        <f>'[1]TT 342'!E73</f>
        <v>22936.998068000001</v>
      </c>
      <c r="G78" s="556">
        <f>F78</f>
        <v>22936.998068000001</v>
      </c>
      <c r="H78" s="549"/>
      <c r="I78" s="549"/>
    </row>
    <row r="79" spans="2:9" ht="21" customHeight="1">
      <c r="B79" s="570" t="s">
        <v>33</v>
      </c>
      <c r="C79" s="571" t="s">
        <v>863</v>
      </c>
      <c r="D79" s="572"/>
      <c r="E79" s="572"/>
      <c r="F79" s="572">
        <v>125735.658734</v>
      </c>
      <c r="G79" s="572"/>
      <c r="H79" s="573"/>
      <c r="I79" s="573"/>
    </row>
    <row r="80" spans="2:9" s="538" customFormat="1" ht="14.25">
      <c r="B80" s="547" t="s">
        <v>51</v>
      </c>
      <c r="C80" s="548" t="s">
        <v>103</v>
      </c>
      <c r="D80" s="537"/>
      <c r="E80" s="537"/>
      <c r="F80" s="537">
        <f>'[1]TT 342'!E89</f>
        <v>51794.075448000003</v>
      </c>
      <c r="G80" s="537">
        <f>F80</f>
        <v>51794.075448000003</v>
      </c>
      <c r="H80" s="549" t="str">
        <f t="shared" si="0"/>
        <v/>
      </c>
      <c r="I80" s="549" t="str">
        <f t="shared" si="0"/>
        <v/>
      </c>
    </row>
    <row r="81" spans="2:9" s="538" customFormat="1" ht="28.5" customHeight="1">
      <c r="B81" s="574" t="s">
        <v>52</v>
      </c>
      <c r="C81" s="575" t="s">
        <v>104</v>
      </c>
      <c r="D81" s="576"/>
      <c r="E81" s="576"/>
      <c r="F81" s="576">
        <f>'[1]TT 342'!E88</f>
        <v>2204821.3496130002</v>
      </c>
      <c r="G81" s="576">
        <f>F81</f>
        <v>2204821.3496130002</v>
      </c>
      <c r="H81" s="577" t="str">
        <f t="shared" si="0"/>
        <v/>
      </c>
      <c r="I81" s="577" t="str">
        <f t="shared" si="0"/>
        <v/>
      </c>
    </row>
    <row r="83" spans="2:9">
      <c r="B83" s="578" t="s">
        <v>105</v>
      </c>
    </row>
    <row r="84" spans="2:9" ht="24.75" customHeight="1">
      <c r="B84" s="612" t="s">
        <v>106</v>
      </c>
      <c r="C84" s="612"/>
      <c r="D84" s="612"/>
      <c r="E84" s="612"/>
      <c r="F84" s="612"/>
      <c r="G84" s="612"/>
      <c r="H84" s="612"/>
      <c r="I84" s="612"/>
    </row>
    <row r="85" spans="2:9" ht="24.75" customHeight="1">
      <c r="B85" s="612" t="s">
        <v>107</v>
      </c>
      <c r="C85" s="612"/>
      <c r="D85" s="612"/>
      <c r="E85" s="612"/>
      <c r="F85" s="612"/>
      <c r="G85" s="612"/>
      <c r="H85" s="612"/>
      <c r="I85" s="612"/>
    </row>
    <row r="86" spans="2:9" ht="28.5" customHeight="1">
      <c r="B86" s="612" t="s">
        <v>108</v>
      </c>
      <c r="C86" s="612"/>
      <c r="D86" s="612"/>
      <c r="E86" s="612"/>
      <c r="F86" s="612"/>
      <c r="G86" s="612"/>
      <c r="H86" s="612"/>
      <c r="I86" s="612"/>
    </row>
    <row r="87" spans="2:9" ht="29.25" customHeight="1">
      <c r="B87" s="612" t="s">
        <v>109</v>
      </c>
      <c r="C87" s="612"/>
      <c r="D87" s="612"/>
      <c r="E87" s="612"/>
      <c r="F87" s="612"/>
      <c r="G87" s="612"/>
      <c r="H87" s="612"/>
      <c r="I87" s="612"/>
    </row>
    <row r="88" spans="2:9" ht="41.25" customHeight="1">
      <c r="B88" s="612" t="s">
        <v>110</v>
      </c>
      <c r="C88" s="612"/>
      <c r="D88" s="612"/>
      <c r="E88" s="612"/>
      <c r="F88" s="612"/>
      <c r="G88" s="612"/>
      <c r="H88" s="612"/>
      <c r="I88" s="612"/>
    </row>
  </sheetData>
  <mergeCells count="13">
    <mergeCell ref="B84:I84"/>
    <mergeCell ref="B85:I85"/>
    <mergeCell ref="B86:I86"/>
    <mergeCell ref="B87:I87"/>
    <mergeCell ref="B88:I88"/>
    <mergeCell ref="B2:I2"/>
    <mergeCell ref="B3:I3"/>
    <mergeCell ref="H5:I5"/>
    <mergeCell ref="B6:B7"/>
    <mergeCell ref="C6:C7"/>
    <mergeCell ref="D6:E6"/>
    <mergeCell ref="F6:G6"/>
    <mergeCell ref="H6:I6"/>
  </mergeCells>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1"/>
  <sheetViews>
    <sheetView zoomScaleNormal="100" workbookViewId="0">
      <pane ySplit="5" topLeftCell="A6" activePane="bottomLeft" state="frozen"/>
      <selection pane="bottomLeft" activeCell="H40" sqref="H40"/>
    </sheetView>
  </sheetViews>
  <sheetFormatPr defaultColWidth="9.140625" defaultRowHeight="15"/>
  <cols>
    <col min="1" max="1" width="4.140625" style="369" customWidth="1"/>
    <col min="2" max="2" width="7.85546875" style="369" customWidth="1"/>
    <col min="3" max="3" width="50" style="369" customWidth="1"/>
    <col min="4" max="4" width="13.42578125" style="369" customWidth="1"/>
    <col min="5" max="5" width="13.28515625" style="369" customWidth="1"/>
    <col min="6" max="6" width="12.5703125" style="369" customWidth="1"/>
    <col min="7" max="7" width="12.140625" style="370" customWidth="1"/>
    <col min="8" max="8" width="24.42578125" style="370" customWidth="1"/>
    <col min="9" max="10" width="10.140625" style="369" bestFit="1" customWidth="1"/>
    <col min="11" max="16384" width="9.140625" style="369"/>
  </cols>
  <sheetData>
    <row r="1" spans="2:19">
      <c r="B1" s="368"/>
      <c r="E1" s="615" t="s">
        <v>340</v>
      </c>
      <c r="F1" s="615"/>
    </row>
    <row r="2" spans="2:19" s="373" customFormat="1" ht="23.25" customHeight="1">
      <c r="B2" s="616" t="s">
        <v>643</v>
      </c>
      <c r="C2" s="616"/>
      <c r="D2" s="616"/>
      <c r="E2" s="616"/>
      <c r="F2" s="616"/>
      <c r="G2" s="372"/>
      <c r="H2" s="372"/>
    </row>
    <row r="3" spans="2:19">
      <c r="B3" s="617" t="s">
        <v>641</v>
      </c>
      <c r="C3" s="617"/>
      <c r="D3" s="617"/>
      <c r="E3" s="617"/>
      <c r="F3" s="617"/>
    </row>
    <row r="4" spans="2:19">
      <c r="B4" s="371"/>
      <c r="C4" s="371"/>
      <c r="D4" s="371"/>
      <c r="E4" s="618" t="s">
        <v>539</v>
      </c>
      <c r="F4" s="618"/>
    </row>
    <row r="5" spans="2:19" ht="27" customHeight="1">
      <c r="B5" s="374" t="s">
        <v>16</v>
      </c>
      <c r="C5" s="374" t="s">
        <v>17</v>
      </c>
      <c r="D5" s="374" t="s">
        <v>18</v>
      </c>
      <c r="E5" s="374" t="s">
        <v>19</v>
      </c>
      <c r="F5" s="374" t="s">
        <v>565</v>
      </c>
    </row>
    <row r="6" spans="2:19">
      <c r="B6" s="374" t="s">
        <v>23</v>
      </c>
      <c r="C6" s="374" t="s">
        <v>24</v>
      </c>
      <c r="D6" s="374">
        <v>1</v>
      </c>
      <c r="E6" s="374">
        <v>2</v>
      </c>
      <c r="F6" s="374" t="s">
        <v>111</v>
      </c>
    </row>
    <row r="7" spans="2:19" ht="26.25" customHeight="1">
      <c r="B7" s="375"/>
      <c r="C7" s="376" t="s">
        <v>112</v>
      </c>
      <c r="D7" s="377">
        <f>D8+D32+D58+D59</f>
        <v>8597048</v>
      </c>
      <c r="E7" s="377">
        <f>E8+E32+E58+E59</f>
        <v>12005744.061772998</v>
      </c>
      <c r="F7" s="41">
        <f>IF(D7=0, ,E7/D7*100)</f>
        <v>139.64961067767678</v>
      </c>
      <c r="G7" s="378"/>
      <c r="H7" s="379"/>
      <c r="I7" s="379"/>
      <c r="J7" s="379"/>
      <c r="K7" s="379"/>
      <c r="L7" s="379"/>
      <c r="M7" s="379"/>
      <c r="N7" s="379"/>
      <c r="O7" s="379"/>
      <c r="P7" s="379"/>
      <c r="Q7" s="379"/>
      <c r="R7" s="379"/>
      <c r="S7" s="379"/>
    </row>
    <row r="8" spans="2:19" ht="26.25" customHeight="1">
      <c r="B8" s="380" t="s">
        <v>23</v>
      </c>
      <c r="C8" s="381" t="s">
        <v>524</v>
      </c>
      <c r="D8" s="87">
        <f>D9+D31</f>
        <v>7150317</v>
      </c>
      <c r="E8" s="93">
        <f>E9+E31</f>
        <v>6539335.5344669996</v>
      </c>
      <c r="F8" s="85">
        <f t="shared" ref="F8:F55" si="0">IF(D8=0, ,E8/D8*100)</f>
        <v>91.455183517975485</v>
      </c>
      <c r="G8" s="378"/>
      <c r="H8" s="379"/>
      <c r="I8" s="379"/>
      <c r="J8" s="379"/>
      <c r="K8" s="379"/>
      <c r="L8" s="379"/>
      <c r="M8" s="379"/>
      <c r="N8" s="379"/>
      <c r="O8" s="379"/>
      <c r="P8" s="379"/>
      <c r="Q8" s="379"/>
      <c r="R8" s="379"/>
      <c r="S8" s="379"/>
    </row>
    <row r="9" spans="2:19" ht="27" customHeight="1">
      <c r="B9" s="380" t="s">
        <v>525</v>
      </c>
      <c r="C9" s="381" t="s">
        <v>113</v>
      </c>
      <c r="D9" s="382">
        <f>D10+D21+D25+D26+D27+D28+D30</f>
        <v>7101917</v>
      </c>
      <c r="E9" s="382">
        <f>E10+E21+E25+E26+E27+E28+E30+E29</f>
        <v>6516398.5363989994</v>
      </c>
      <c r="F9" s="85">
        <f t="shared" si="0"/>
        <v>91.755487094526728</v>
      </c>
      <c r="H9" s="379"/>
      <c r="I9" s="379"/>
      <c r="J9" s="379"/>
      <c r="K9" s="379"/>
      <c r="L9" s="379"/>
    </row>
    <row r="10" spans="2:19">
      <c r="B10" s="380" t="s">
        <v>28</v>
      </c>
      <c r="C10" s="381" t="s">
        <v>43</v>
      </c>
      <c r="D10" s="382">
        <f>D11+D19+D20</f>
        <v>808020</v>
      </c>
      <c r="E10" s="382">
        <f>E11+E19+E20</f>
        <v>1127172.75397</v>
      </c>
      <c r="F10" s="85">
        <f t="shared" si="0"/>
        <v>139.49812553773421</v>
      </c>
      <c r="G10" s="379"/>
      <c r="I10" s="383"/>
    </row>
    <row r="11" spans="2:19">
      <c r="B11" s="384">
        <v>1</v>
      </c>
      <c r="C11" s="385" t="s">
        <v>114</v>
      </c>
      <c r="D11" s="386">
        <v>808020</v>
      </c>
      <c r="E11" s="386">
        <f>2683858.32855-22.938-E28-E38-'Bieu 61'!AB12-E31</f>
        <v>1109270.75397</v>
      </c>
      <c r="F11" s="86">
        <f t="shared" si="0"/>
        <v>137.28258631840794</v>
      </c>
      <c r="H11" s="379"/>
      <c r="I11" s="383"/>
    </row>
    <row r="12" spans="2:19">
      <c r="B12" s="384"/>
      <c r="C12" s="387" t="s">
        <v>115</v>
      </c>
      <c r="D12" s="386"/>
      <c r="E12" s="386"/>
      <c r="F12" s="86">
        <f t="shared" si="0"/>
        <v>0</v>
      </c>
      <c r="G12" s="379"/>
      <c r="H12" s="379"/>
    </row>
    <row r="13" spans="2:19" ht="19.5" customHeight="1">
      <c r="B13" s="384" t="s">
        <v>30</v>
      </c>
      <c r="C13" s="387" t="s">
        <v>116</v>
      </c>
      <c r="D13" s="386">
        <v>108979</v>
      </c>
      <c r="E13" s="386">
        <v>212080.246442</v>
      </c>
      <c r="F13" s="86">
        <f t="shared" si="0"/>
        <v>194.60652643353308</v>
      </c>
      <c r="H13" s="379"/>
    </row>
    <row r="14" spans="2:19">
      <c r="B14" s="384" t="s">
        <v>30</v>
      </c>
      <c r="C14" s="387" t="s">
        <v>117</v>
      </c>
      <c r="D14" s="386">
        <v>12900</v>
      </c>
      <c r="E14" s="386">
        <v>19547.661734000001</v>
      </c>
      <c r="F14" s="86">
        <f t="shared" si="0"/>
        <v>151.53226150387599</v>
      </c>
    </row>
    <row r="15" spans="2:19" ht="16.5" customHeight="1">
      <c r="B15" s="384"/>
      <c r="C15" s="387" t="s">
        <v>118</v>
      </c>
      <c r="D15" s="386"/>
      <c r="E15" s="386"/>
      <c r="F15" s="86">
        <f t="shared" si="0"/>
        <v>0</v>
      </c>
    </row>
    <row r="16" spans="2:19" ht="18.75" customHeight="1">
      <c r="B16" s="384" t="s">
        <v>30</v>
      </c>
      <c r="C16" s="387" t="s">
        <v>119</v>
      </c>
      <c r="D16" s="386">
        <v>235000</v>
      </c>
      <c r="E16" s="388">
        <f>'[2]Tien su dung dat'!$C$9+4700</f>
        <v>300864.56334100006</v>
      </c>
      <c r="F16" s="86">
        <f t="shared" si="0"/>
        <v>128.0274737621277</v>
      </c>
    </row>
    <row r="17" spans="2:10" ht="17.25" customHeight="1">
      <c r="B17" s="384" t="s">
        <v>30</v>
      </c>
      <c r="C17" s="387" t="s">
        <v>120</v>
      </c>
      <c r="D17" s="386">
        <v>60000</v>
      </c>
      <c r="E17" s="386">
        <v>35264</v>
      </c>
      <c r="F17" s="86">
        <f t="shared" si="0"/>
        <v>58.773333333333333</v>
      </c>
    </row>
    <row r="18" spans="2:10" ht="26.25" customHeight="1">
      <c r="B18" s="384" t="s">
        <v>30</v>
      </c>
      <c r="C18" s="387" t="s">
        <v>658</v>
      </c>
      <c r="D18" s="386">
        <v>6800</v>
      </c>
      <c r="E18" s="389">
        <v>25426</v>
      </c>
      <c r="F18" s="86">
        <f t="shared" si="0"/>
        <v>373.91176470588238</v>
      </c>
    </row>
    <row r="19" spans="2:10" ht="65.25" customHeight="1">
      <c r="B19" s="384">
        <v>2</v>
      </c>
      <c r="C19" s="385" t="s">
        <v>121</v>
      </c>
      <c r="D19" s="386"/>
      <c r="E19" s="386">
        <v>17902</v>
      </c>
      <c r="F19" s="86">
        <f t="shared" si="0"/>
        <v>0</v>
      </c>
    </row>
    <row r="20" spans="2:10">
      <c r="B20" s="384">
        <v>3</v>
      </c>
      <c r="C20" s="385" t="s">
        <v>122</v>
      </c>
      <c r="D20" s="386"/>
      <c r="E20" s="386"/>
      <c r="F20" s="86">
        <f t="shared" si="0"/>
        <v>0</v>
      </c>
    </row>
    <row r="21" spans="2:10">
      <c r="B21" s="380" t="s">
        <v>33</v>
      </c>
      <c r="C21" s="381" t="s">
        <v>44</v>
      </c>
      <c r="D21" s="382">
        <v>4959919</v>
      </c>
      <c r="E21" s="382">
        <f>5158578.847465-E49-'Bieu 61'!AC12</f>
        <v>5030942.4719049996</v>
      </c>
      <c r="F21" s="85">
        <f t="shared" si="0"/>
        <v>101.43194822143265</v>
      </c>
      <c r="G21" s="379"/>
    </row>
    <row r="22" spans="2:10">
      <c r="B22" s="384"/>
      <c r="C22" s="387" t="s">
        <v>123</v>
      </c>
      <c r="D22" s="386"/>
      <c r="E22" s="386"/>
      <c r="F22" s="86">
        <f t="shared" si="0"/>
        <v>0</v>
      </c>
    </row>
    <row r="23" spans="2:10">
      <c r="B23" s="384">
        <v>1</v>
      </c>
      <c r="C23" s="387" t="s">
        <v>116</v>
      </c>
      <c r="D23" s="386">
        <v>2271049</v>
      </c>
      <c r="E23" s="386">
        <v>2252031.432664</v>
      </c>
      <c r="F23" s="86">
        <f t="shared" si="0"/>
        <v>99.162608673965195</v>
      </c>
    </row>
    <row r="24" spans="2:10">
      <c r="B24" s="384">
        <v>2</v>
      </c>
      <c r="C24" s="387" t="s">
        <v>124</v>
      </c>
      <c r="D24" s="386">
        <v>16388</v>
      </c>
      <c r="E24" s="386">
        <v>12202.081040999999</v>
      </c>
      <c r="F24" s="86">
        <f t="shared" si="0"/>
        <v>74.457414211618257</v>
      </c>
    </row>
    <row r="25" spans="2:10">
      <c r="B25" s="380" t="s">
        <v>37</v>
      </c>
      <c r="C25" s="381" t="s">
        <v>571</v>
      </c>
      <c r="D25" s="382">
        <v>2200</v>
      </c>
      <c r="E25" s="382">
        <f>1256.806+8442.96</f>
        <v>9699.7659999999996</v>
      </c>
      <c r="F25" s="85">
        <f t="shared" si="0"/>
        <v>440.89845454545451</v>
      </c>
      <c r="H25" s="379"/>
    </row>
    <row r="26" spans="2:10">
      <c r="B26" s="380" t="s">
        <v>39</v>
      </c>
      <c r="C26" s="381" t="s">
        <v>45</v>
      </c>
      <c r="D26" s="382">
        <v>1000</v>
      </c>
      <c r="E26" s="382">
        <v>24154</v>
      </c>
      <c r="F26" s="85">
        <f t="shared" si="0"/>
        <v>2415.4</v>
      </c>
      <c r="I26" s="383"/>
    </row>
    <row r="27" spans="2:10">
      <c r="B27" s="380" t="s">
        <v>40</v>
      </c>
      <c r="C27" s="381" t="s">
        <v>46</v>
      </c>
      <c r="D27" s="382">
        <v>142038</v>
      </c>
      <c r="E27" s="382"/>
      <c r="F27" s="85">
        <f t="shared" si="0"/>
        <v>0</v>
      </c>
      <c r="J27" s="383"/>
    </row>
    <row r="28" spans="2:10" ht="63.75">
      <c r="B28" s="380" t="s">
        <v>125</v>
      </c>
      <c r="C28" s="381" t="s">
        <v>600</v>
      </c>
      <c r="D28" s="390">
        <v>1188740</v>
      </c>
      <c r="E28" s="391">
        <f>289829.139638-22.938</f>
        <v>289806.20163799997</v>
      </c>
      <c r="F28" s="85">
        <f t="shared" si="0"/>
        <v>24.379275673233842</v>
      </c>
    </row>
    <row r="29" spans="2:10">
      <c r="B29" s="380" t="s">
        <v>157</v>
      </c>
      <c r="C29" s="381" t="s">
        <v>607</v>
      </c>
      <c r="D29" s="382"/>
      <c r="E29" s="382">
        <v>11000</v>
      </c>
      <c r="F29" s="85">
        <f t="shared" si="0"/>
        <v>0</v>
      </c>
    </row>
    <row r="30" spans="2:10">
      <c r="B30" s="380" t="s">
        <v>469</v>
      </c>
      <c r="C30" s="381" t="s">
        <v>717</v>
      </c>
      <c r="D30" s="382"/>
      <c r="E30" s="382">
        <v>23623.342885999999</v>
      </c>
      <c r="F30" s="85">
        <f>IF(D30=0, ,E30/D30*100)</f>
        <v>0</v>
      </c>
    </row>
    <row r="31" spans="2:10">
      <c r="B31" s="380" t="s">
        <v>526</v>
      </c>
      <c r="C31" s="381" t="s">
        <v>527</v>
      </c>
      <c r="D31" s="382">
        <v>48400</v>
      </c>
      <c r="E31" s="390">
        <v>22936.998068000001</v>
      </c>
      <c r="F31" s="85">
        <f t="shared" si="0"/>
        <v>47.39049187603306</v>
      </c>
    </row>
    <row r="32" spans="2:10" ht="18.75" customHeight="1">
      <c r="B32" s="380" t="s">
        <v>24</v>
      </c>
      <c r="C32" s="381" t="s">
        <v>126</v>
      </c>
      <c r="D32" s="382">
        <f>D33+D37</f>
        <v>1446731</v>
      </c>
      <c r="E32" s="382">
        <f>E33+E37</f>
        <v>1389457.812434</v>
      </c>
      <c r="F32" s="85">
        <f t="shared" si="0"/>
        <v>96.041199948988449</v>
      </c>
      <c r="J32" s="383"/>
    </row>
    <row r="33" spans="2:12">
      <c r="B33" s="380" t="s">
        <v>28</v>
      </c>
      <c r="C33" s="381" t="s">
        <v>48</v>
      </c>
      <c r="D33" s="382">
        <f>D34+D35+D36</f>
        <v>0</v>
      </c>
      <c r="E33" s="382">
        <f>E34+E35+E36</f>
        <v>307765.92214800004</v>
      </c>
      <c r="F33" s="85">
        <f t="shared" si="0"/>
        <v>0</v>
      </c>
    </row>
    <row r="34" spans="2:12">
      <c r="B34" s="384">
        <v>1</v>
      </c>
      <c r="C34" s="385" t="s">
        <v>205</v>
      </c>
      <c r="D34" s="386"/>
      <c r="E34" s="386">
        <f>'Bieu 61'!AD12</f>
        <v>92094.31191400002</v>
      </c>
      <c r="F34" s="86">
        <f t="shared" si="0"/>
        <v>0</v>
      </c>
    </row>
    <row r="35" spans="2:12">
      <c r="B35" s="384">
        <v>2</v>
      </c>
      <c r="C35" s="385" t="s">
        <v>206</v>
      </c>
      <c r="D35" s="386"/>
      <c r="E35" s="386">
        <f>'Bieu 61'!AK12</f>
        <v>76617.220791999993</v>
      </c>
      <c r="F35" s="86">
        <f t="shared" si="0"/>
        <v>0</v>
      </c>
      <c r="J35" s="383"/>
    </row>
    <row r="36" spans="2:12" ht="38.25">
      <c r="B36" s="392">
        <v>3</v>
      </c>
      <c r="C36" s="393" t="s">
        <v>744</v>
      </c>
      <c r="D36" s="394"/>
      <c r="E36" s="394">
        <f>'Bieu 61'!AR12</f>
        <v>139054.38944200001</v>
      </c>
      <c r="F36" s="86">
        <f t="shared" si="0"/>
        <v>0</v>
      </c>
      <c r="J36" s="383"/>
    </row>
    <row r="37" spans="2:12">
      <c r="B37" s="380" t="s">
        <v>33</v>
      </c>
      <c r="C37" s="381" t="s">
        <v>127</v>
      </c>
      <c r="D37" s="382">
        <f>D38+D49</f>
        <v>1446731</v>
      </c>
      <c r="E37" s="382">
        <f>E38+E49</f>
        <v>1081691.890286</v>
      </c>
      <c r="F37" s="85">
        <f t="shared" si="0"/>
        <v>74.768003885034602</v>
      </c>
    </row>
    <row r="38" spans="2:12">
      <c r="B38" s="380" t="s">
        <v>207</v>
      </c>
      <c r="C38" s="381" t="s">
        <v>208</v>
      </c>
      <c r="D38" s="382">
        <f>D39+D44</f>
        <v>1382515</v>
      </c>
      <c r="E38" s="382">
        <f>E39+E44</f>
        <v>1025371.9902860001</v>
      </c>
      <c r="F38" s="85">
        <f t="shared" si="0"/>
        <v>74.167151190837004</v>
      </c>
    </row>
    <row r="39" spans="2:12">
      <c r="B39" s="395">
        <v>1</v>
      </c>
      <c r="C39" s="396" t="s">
        <v>209</v>
      </c>
      <c r="D39" s="397">
        <f>SUM(D40:D43)</f>
        <v>292168</v>
      </c>
      <c r="E39" s="397">
        <f>SUM(E40:E43)</f>
        <v>147349.483634</v>
      </c>
      <c r="F39" s="85">
        <f t="shared" si="0"/>
        <v>50.433135604857483</v>
      </c>
      <c r="H39" s="398"/>
    </row>
    <row r="40" spans="2:12" s="400" customFormat="1" ht="25.5">
      <c r="B40" s="395" t="s">
        <v>30</v>
      </c>
      <c r="C40" s="399" t="s">
        <v>531</v>
      </c>
      <c r="D40" s="291">
        <f>'[3]bieu 53_Tan'!C43</f>
        <v>14968</v>
      </c>
      <c r="E40" s="292">
        <f>'[3]bieu 53_Tan'!F43</f>
        <v>12113.023902999999</v>
      </c>
      <c r="F40" s="89">
        <f t="shared" si="0"/>
        <v>80.926135108230895</v>
      </c>
      <c r="I40" s="368"/>
      <c r="J40" s="368"/>
      <c r="K40" s="368"/>
      <c r="L40" s="368"/>
    </row>
    <row r="41" spans="2:12">
      <c r="B41" s="395" t="s">
        <v>30</v>
      </c>
      <c r="C41" s="401" t="s">
        <v>532</v>
      </c>
      <c r="D41" s="291">
        <f>'[3]bieu 53_Tan'!C44</f>
        <v>12750</v>
      </c>
      <c r="E41" s="292">
        <f>'[3]bieu 53_Tan'!F44</f>
        <v>9184.7167270000009</v>
      </c>
      <c r="F41" s="88">
        <f t="shared" si="0"/>
        <v>72.036993937254906</v>
      </c>
    </row>
    <row r="42" spans="2:12" ht="25.5">
      <c r="B42" s="395" t="s">
        <v>30</v>
      </c>
      <c r="C42" s="402" t="s">
        <v>262</v>
      </c>
      <c r="D42" s="291">
        <f>'[3]bieu 53_Tan'!C45</f>
        <v>220000</v>
      </c>
      <c r="E42" s="292">
        <f>'[3]bieu 53_Tan'!F45</f>
        <v>90952.904225000006</v>
      </c>
      <c r="F42" s="88">
        <f t="shared" si="0"/>
        <v>41.342229193181822</v>
      </c>
    </row>
    <row r="43" spans="2:12" ht="25.5">
      <c r="B43" s="395" t="s">
        <v>30</v>
      </c>
      <c r="C43" s="403" t="s">
        <v>533</v>
      </c>
      <c r="D43" s="291">
        <f>'[3]bieu 53_Tan'!C46</f>
        <v>44450</v>
      </c>
      <c r="E43" s="292">
        <f>'[3]bieu 53_Tan'!F46</f>
        <v>35098.838778999998</v>
      </c>
      <c r="F43" s="89">
        <f t="shared" si="0"/>
        <v>78.962516938132737</v>
      </c>
    </row>
    <row r="44" spans="2:12">
      <c r="B44" s="395" t="s">
        <v>534</v>
      </c>
      <c r="C44" s="396" t="s">
        <v>848</v>
      </c>
      <c r="D44" s="290">
        <f>SUM(D45:D48)</f>
        <v>1090347</v>
      </c>
      <c r="E44" s="290">
        <f>SUM(E45:E48)</f>
        <v>878022.50665200013</v>
      </c>
      <c r="F44" s="88">
        <f t="shared" si="0"/>
        <v>80.526887922101878</v>
      </c>
    </row>
    <row r="45" spans="2:12">
      <c r="B45" s="395" t="s">
        <v>30</v>
      </c>
      <c r="C45" s="404" t="s">
        <v>608</v>
      </c>
      <c r="D45" s="293">
        <f>'[3]bieu 53_Tan'!C48</f>
        <v>726755</v>
      </c>
      <c r="E45" s="294">
        <f>'[3]bieu 53_Tan'!F48</f>
        <v>449062.72099999996</v>
      </c>
      <c r="F45" s="88">
        <f t="shared" si="0"/>
        <v>61.790110972748721</v>
      </c>
    </row>
    <row r="46" spans="2:12">
      <c r="B46" s="395" t="s">
        <v>30</v>
      </c>
      <c r="C46" s="404" t="s">
        <v>609</v>
      </c>
      <c r="D46" s="293">
        <f>'[3]bieu 53_Tan'!C49</f>
        <v>154000</v>
      </c>
      <c r="E46" s="294">
        <f>'[3]bieu 53_Tan'!F49</f>
        <v>165346.185895</v>
      </c>
      <c r="F46" s="88">
        <f t="shared" si="0"/>
        <v>107.36765317857142</v>
      </c>
    </row>
    <row r="47" spans="2:12">
      <c r="B47" s="395" t="s">
        <v>30</v>
      </c>
      <c r="C47" s="404" t="s">
        <v>610</v>
      </c>
      <c r="D47" s="293">
        <f>'[3]bieu 53_Tan'!C50</f>
        <v>189592</v>
      </c>
      <c r="E47" s="294">
        <f>'[3]bieu 53_Tan'!F50</f>
        <v>219037.88592500001</v>
      </c>
      <c r="F47" s="88">
        <f t="shared" si="0"/>
        <v>115.53118587545887</v>
      </c>
    </row>
    <row r="48" spans="2:12">
      <c r="B48" s="395" t="s">
        <v>30</v>
      </c>
      <c r="C48" s="404" t="s">
        <v>611</v>
      </c>
      <c r="D48" s="293">
        <f>'[3]bieu 53_Tan'!C51</f>
        <v>20000</v>
      </c>
      <c r="E48" s="294">
        <f>'[3]bieu 53_Tan'!F51</f>
        <v>44575.713831999994</v>
      </c>
      <c r="F48" s="85">
        <f t="shared" si="0"/>
        <v>222.87856915999998</v>
      </c>
    </row>
    <row r="49" spans="2:6" s="370" customFormat="1">
      <c r="B49" s="405" t="s">
        <v>210</v>
      </c>
      <c r="C49" s="406" t="s">
        <v>211</v>
      </c>
      <c r="D49" s="390">
        <f>D50+D52</f>
        <v>64216</v>
      </c>
      <c r="E49" s="390">
        <f>E50+E52</f>
        <v>56319.9</v>
      </c>
      <c r="F49" s="89">
        <f t="shared" si="0"/>
        <v>87.703843278933604</v>
      </c>
    </row>
    <row r="50" spans="2:6" s="370" customFormat="1">
      <c r="B50" s="405" t="s">
        <v>28</v>
      </c>
      <c r="C50" s="406" t="s">
        <v>171</v>
      </c>
      <c r="D50" s="390">
        <f>D51</f>
        <v>3790</v>
      </c>
      <c r="E50" s="390">
        <f>E51</f>
        <v>0</v>
      </c>
      <c r="F50" s="89">
        <f t="shared" si="0"/>
        <v>0</v>
      </c>
    </row>
    <row r="51" spans="2:6" s="370" customFormat="1">
      <c r="B51" s="407" t="s">
        <v>521</v>
      </c>
      <c r="C51" s="408" t="s">
        <v>594</v>
      </c>
      <c r="D51" s="409">
        <v>3790</v>
      </c>
      <c r="E51" s="409">
        <v>0</v>
      </c>
      <c r="F51" s="88">
        <f t="shared" si="0"/>
        <v>0</v>
      </c>
    </row>
    <row r="52" spans="2:6" s="370" customFormat="1">
      <c r="B52" s="405" t="s">
        <v>33</v>
      </c>
      <c r="C52" s="406" t="s">
        <v>172</v>
      </c>
      <c r="D52" s="390">
        <f>SUM(D53:D57)</f>
        <v>60426</v>
      </c>
      <c r="E52" s="390">
        <f>SUM(E53:E57)</f>
        <v>56319.9</v>
      </c>
      <c r="F52" s="89">
        <f t="shared" si="0"/>
        <v>93.204746301261054</v>
      </c>
    </row>
    <row r="53" spans="2:6" s="370" customFormat="1" ht="25.5">
      <c r="B53" s="407">
        <v>1</v>
      </c>
      <c r="C53" s="408" t="s">
        <v>659</v>
      </c>
      <c r="D53" s="409">
        <v>1000</v>
      </c>
      <c r="E53" s="409">
        <v>448</v>
      </c>
      <c r="F53" s="88">
        <f>IF(D53=0, ,E53/D53*100)</f>
        <v>44.800000000000004</v>
      </c>
    </row>
    <row r="54" spans="2:6" s="370" customFormat="1" ht="25.5">
      <c r="B54" s="407">
        <v>2</v>
      </c>
      <c r="C54" s="408" t="s">
        <v>660</v>
      </c>
      <c r="D54" s="409">
        <v>3000</v>
      </c>
      <c r="E54" s="409">
        <v>0</v>
      </c>
      <c r="F54" s="88">
        <f t="shared" si="0"/>
        <v>0</v>
      </c>
    </row>
    <row r="55" spans="2:6" s="370" customFormat="1" ht="25.5">
      <c r="B55" s="407">
        <v>3</v>
      </c>
      <c r="C55" s="408" t="s">
        <v>661</v>
      </c>
      <c r="D55" s="409">
        <v>149</v>
      </c>
      <c r="E55" s="409">
        <v>149</v>
      </c>
      <c r="F55" s="88">
        <f t="shared" si="0"/>
        <v>100</v>
      </c>
    </row>
    <row r="56" spans="2:6" s="370" customFormat="1" ht="25.5">
      <c r="B56" s="407">
        <v>4</v>
      </c>
      <c r="C56" s="408" t="s">
        <v>662</v>
      </c>
      <c r="D56" s="409">
        <v>13000</v>
      </c>
      <c r="E56" s="409">
        <v>12516.9</v>
      </c>
      <c r="F56" s="88"/>
    </row>
    <row r="57" spans="2:6" s="370" customFormat="1">
      <c r="B57" s="407">
        <v>5</v>
      </c>
      <c r="C57" s="408" t="s">
        <v>663</v>
      </c>
      <c r="D57" s="409">
        <v>43277</v>
      </c>
      <c r="E57" s="409">
        <v>43206</v>
      </c>
      <c r="F57" s="88"/>
    </row>
    <row r="58" spans="2:6">
      <c r="B58" s="380" t="s">
        <v>51</v>
      </c>
      <c r="C58" s="381" t="s">
        <v>128</v>
      </c>
      <c r="D58" s="382"/>
      <c r="E58" s="382">
        <v>3563988.770759</v>
      </c>
      <c r="F58" s="85">
        <f t="shared" ref="F58:F59" si="1">IF(D58=0, ,E58/D58*100)</f>
        <v>0</v>
      </c>
    </row>
    <row r="59" spans="2:6">
      <c r="B59" s="410" t="s">
        <v>52</v>
      </c>
      <c r="C59" s="411" t="s">
        <v>382</v>
      </c>
      <c r="D59" s="412"/>
      <c r="E59" s="412">
        <v>512961.94411300001</v>
      </c>
      <c r="F59" s="90">
        <f t="shared" si="1"/>
        <v>0</v>
      </c>
    </row>
    <row r="60" spans="2:6" ht="34.5" customHeight="1">
      <c r="B60" s="614" t="s">
        <v>538</v>
      </c>
      <c r="C60" s="614"/>
      <c r="D60" s="614"/>
      <c r="E60" s="614"/>
      <c r="F60" s="614"/>
    </row>
    <row r="61" spans="2:6" ht="34.5" customHeight="1">
      <c r="B61" s="613" t="s">
        <v>566</v>
      </c>
      <c r="C61" s="614"/>
      <c r="D61" s="614"/>
      <c r="E61" s="614"/>
      <c r="F61" s="614"/>
    </row>
  </sheetData>
  <mergeCells count="6">
    <mergeCell ref="B61:F61"/>
    <mergeCell ref="E1:F1"/>
    <mergeCell ref="B2:F2"/>
    <mergeCell ref="B3:F3"/>
    <mergeCell ref="B60:F60"/>
    <mergeCell ref="E4:F4"/>
  </mergeCell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ySplit="7" topLeftCell="A8" activePane="bottomLeft" state="frozen"/>
      <selection pane="bottomLeft" activeCell="B41" sqref="B41"/>
    </sheetView>
  </sheetViews>
  <sheetFormatPr defaultColWidth="9.140625" defaultRowHeight="15"/>
  <cols>
    <col min="1" max="1" width="5.42578125" style="437" customWidth="1"/>
    <col min="2" max="2" width="37" style="370" customWidth="1"/>
    <col min="3" max="3" width="13" style="370" customWidth="1"/>
    <col min="4" max="4" width="12.28515625" style="370" customWidth="1"/>
    <col min="5" max="5" width="11.28515625" style="370" customWidth="1"/>
    <col min="6" max="6" width="12.140625" style="370" customWidth="1"/>
    <col min="7" max="8" width="9.140625" style="370"/>
    <col min="9" max="9" width="14" style="370" customWidth="1"/>
    <col min="10" max="10" width="12.42578125" style="370" customWidth="1"/>
    <col min="11" max="16384" width="9.140625" style="370"/>
  </cols>
  <sheetData>
    <row r="1" spans="1:10">
      <c r="A1" s="414"/>
      <c r="E1" s="400" t="s">
        <v>341</v>
      </c>
    </row>
    <row r="2" spans="1:10" ht="24.75" customHeight="1">
      <c r="A2" s="620" t="s">
        <v>644</v>
      </c>
      <c r="B2" s="620"/>
      <c r="C2" s="620"/>
      <c r="D2" s="620"/>
      <c r="E2" s="620"/>
      <c r="F2" s="620"/>
    </row>
    <row r="3" spans="1:10">
      <c r="A3" s="621" t="s">
        <v>641</v>
      </c>
      <c r="B3" s="621"/>
      <c r="C3" s="621"/>
      <c r="D3" s="621"/>
      <c r="E3" s="621"/>
      <c r="F3" s="621"/>
    </row>
    <row r="4" spans="1:10" hidden="1">
      <c r="A4" s="13"/>
    </row>
    <row r="5" spans="1:10">
      <c r="A5" s="13"/>
      <c r="E5" s="621" t="s">
        <v>539</v>
      </c>
      <c r="F5" s="621"/>
    </row>
    <row r="6" spans="1:10">
      <c r="A6" s="607" t="s">
        <v>16</v>
      </c>
      <c r="B6" s="607" t="s">
        <v>63</v>
      </c>
      <c r="C6" s="607" t="s">
        <v>18</v>
      </c>
      <c r="D6" s="607" t="s">
        <v>19</v>
      </c>
      <c r="E6" s="607" t="s">
        <v>20</v>
      </c>
      <c r="F6" s="607"/>
    </row>
    <row r="7" spans="1:10" ht="25.5">
      <c r="A7" s="607"/>
      <c r="B7" s="607"/>
      <c r="C7" s="607"/>
      <c r="D7" s="607"/>
      <c r="E7" s="35" t="s">
        <v>21</v>
      </c>
      <c r="F7" s="35" t="s">
        <v>567</v>
      </c>
    </row>
    <row r="8" spans="1:10">
      <c r="A8" s="35" t="s">
        <v>23</v>
      </c>
      <c r="B8" s="415" t="s">
        <v>24</v>
      </c>
      <c r="C8" s="415" t="s">
        <v>244</v>
      </c>
      <c r="D8" s="415" t="s">
        <v>245</v>
      </c>
      <c r="E8" s="35" t="s">
        <v>25</v>
      </c>
      <c r="F8" s="35" t="s">
        <v>26</v>
      </c>
    </row>
    <row r="9" spans="1:10" ht="18" customHeight="1">
      <c r="A9" s="38"/>
      <c r="B9" s="39" t="s">
        <v>42</v>
      </c>
      <c r="C9" s="287">
        <f>C10+C11+C48+C49</f>
        <v>7064056.0382829998</v>
      </c>
      <c r="D9" s="287">
        <f>D10+D11+D48+D49</f>
        <v>8309289.1822529994</v>
      </c>
      <c r="E9" s="287">
        <f>E10+E11+E48+E49</f>
        <v>1245233.1439700006</v>
      </c>
      <c r="F9" s="416">
        <f t="shared" ref="F9:F13" si="0">IF(C9=0,0,D9/C9*100)</f>
        <v>117.62773592425617</v>
      </c>
      <c r="I9" s="417"/>
    </row>
    <row r="10" spans="1:10" ht="25.5">
      <c r="A10" s="418" t="s">
        <v>23</v>
      </c>
      <c r="B10" s="413" t="s">
        <v>129</v>
      </c>
      <c r="C10" s="419">
        <v>2424617</v>
      </c>
      <c r="D10" s="419">
        <v>2424547.4900000002</v>
      </c>
      <c r="E10" s="419">
        <f t="shared" ref="E10:E13" si="1">D10-C10</f>
        <v>-69.509999999776483</v>
      </c>
      <c r="F10" s="420">
        <f t="shared" si="0"/>
        <v>99.997133155463331</v>
      </c>
      <c r="H10" s="379"/>
      <c r="I10" s="379"/>
    </row>
    <row r="11" spans="1:10" ht="25.5">
      <c r="A11" s="418" t="s">
        <v>24</v>
      </c>
      <c r="B11" s="413" t="s">
        <v>130</v>
      </c>
      <c r="C11" s="419">
        <f>C12+C28+C41+C42+C43+C45+C47+C44</f>
        <v>4639439.0382829998</v>
      </c>
      <c r="D11" s="419">
        <f>D12+D28+D41+D42+D43+D45+D47+D46+D44</f>
        <v>3610925.8760600002</v>
      </c>
      <c r="E11" s="419">
        <f t="shared" si="1"/>
        <v>-1028513.1622229996</v>
      </c>
      <c r="F11" s="420">
        <f t="shared" si="0"/>
        <v>77.83108790230726</v>
      </c>
      <c r="I11" s="379"/>
    </row>
    <row r="12" spans="1:10">
      <c r="A12" s="418" t="s">
        <v>28</v>
      </c>
      <c r="B12" s="413" t="s">
        <v>131</v>
      </c>
      <c r="C12" s="419">
        <f>C13+C26+C27</f>
        <v>1705044</v>
      </c>
      <c r="D12" s="419">
        <f>D13+D26+D27</f>
        <v>1407066.6160919999</v>
      </c>
      <c r="E12" s="419">
        <f t="shared" si="1"/>
        <v>-297977.38390800008</v>
      </c>
      <c r="F12" s="420">
        <f t="shared" si="0"/>
        <v>82.523771591348961</v>
      </c>
      <c r="I12" s="379"/>
      <c r="J12" s="379"/>
    </row>
    <row r="13" spans="1:10">
      <c r="A13" s="418">
        <v>1</v>
      </c>
      <c r="B13" s="413" t="s">
        <v>132</v>
      </c>
      <c r="C13" s="419">
        <f>SUM(C14:C25)</f>
        <v>1705044</v>
      </c>
      <c r="D13" s="419">
        <f>SUM(D14:D25)</f>
        <v>1389164.6160919999</v>
      </c>
      <c r="E13" s="419">
        <f t="shared" si="1"/>
        <v>-315879.38390800008</v>
      </c>
      <c r="F13" s="420">
        <f t="shared" si="0"/>
        <v>81.47382801218032</v>
      </c>
      <c r="G13" s="379"/>
    </row>
    <row r="14" spans="1:10">
      <c r="A14" s="17" t="s">
        <v>185</v>
      </c>
      <c r="B14" s="18" t="s">
        <v>116</v>
      </c>
      <c r="C14" s="421">
        <v>50451</v>
      </c>
      <c r="D14" s="421">
        <v>42129.13</v>
      </c>
      <c r="E14" s="422">
        <f>D14-C14</f>
        <v>-8321.8700000000026</v>
      </c>
      <c r="F14" s="423">
        <f>IF(C14=0,0,D14/C14*100)</f>
        <v>83.505044498622411</v>
      </c>
    </row>
    <row r="15" spans="1:10">
      <c r="A15" s="17" t="s">
        <v>186</v>
      </c>
      <c r="B15" s="18" t="s">
        <v>124</v>
      </c>
      <c r="C15" s="421">
        <v>12900</v>
      </c>
      <c r="D15" s="421">
        <v>19547.66</v>
      </c>
      <c r="E15" s="422">
        <f>D15-C15</f>
        <v>6647.66</v>
      </c>
      <c r="F15" s="423">
        <f t="shared" ref="F15:F27" si="2">IF(C15=0,0,D15/C15*100)</f>
        <v>151.5322480620155</v>
      </c>
      <c r="G15" s="379"/>
    </row>
    <row r="16" spans="1:10">
      <c r="A16" s="17" t="s">
        <v>187</v>
      </c>
      <c r="B16" s="18" t="s">
        <v>133</v>
      </c>
      <c r="C16" s="421">
        <v>33322</v>
      </c>
      <c r="D16" s="421">
        <v>45135.28</v>
      </c>
      <c r="E16" s="422">
        <f t="shared" ref="E16:E25" si="3">D16-C16</f>
        <v>11813.279999999999</v>
      </c>
      <c r="F16" s="423">
        <f t="shared" si="2"/>
        <v>135.4518936438389</v>
      </c>
    </row>
    <row r="17" spans="1:10">
      <c r="A17" s="17" t="s">
        <v>212</v>
      </c>
      <c r="B17" s="18" t="s">
        <v>134</v>
      </c>
      <c r="C17" s="421">
        <v>18150</v>
      </c>
      <c r="D17" s="424">
        <v>2147.98</v>
      </c>
      <c r="E17" s="422">
        <f t="shared" si="3"/>
        <v>-16002.02</v>
      </c>
      <c r="F17" s="423">
        <f t="shared" si="2"/>
        <v>11.834600550964188</v>
      </c>
    </row>
    <row r="18" spans="1:10">
      <c r="A18" s="17" t="s">
        <v>543</v>
      </c>
      <c r="B18" s="18" t="s">
        <v>135</v>
      </c>
      <c r="C18" s="421">
        <v>250</v>
      </c>
      <c r="D18" s="421">
        <v>189.78609199999988</v>
      </c>
      <c r="E18" s="422">
        <f t="shared" si="3"/>
        <v>-60.213908000000117</v>
      </c>
      <c r="F18" s="423">
        <f t="shared" si="2"/>
        <v>75.914436799999947</v>
      </c>
    </row>
    <row r="19" spans="1:10">
      <c r="A19" s="17" t="s">
        <v>544</v>
      </c>
      <c r="B19" s="18" t="s">
        <v>136</v>
      </c>
      <c r="C19" s="421">
        <v>10000</v>
      </c>
      <c r="D19" s="421">
        <v>32611.5</v>
      </c>
      <c r="E19" s="422">
        <f t="shared" si="3"/>
        <v>22611.5</v>
      </c>
      <c r="F19" s="423">
        <f t="shared" si="2"/>
        <v>326.11500000000001</v>
      </c>
    </row>
    <row r="20" spans="1:10">
      <c r="A20" s="17" t="s">
        <v>545</v>
      </c>
      <c r="B20" s="18" t="s">
        <v>137</v>
      </c>
      <c r="C20" s="421">
        <v>50</v>
      </c>
      <c r="D20" s="421"/>
      <c r="E20" s="422">
        <f t="shared" si="3"/>
        <v>-50</v>
      </c>
      <c r="F20" s="423">
        <f t="shared" si="2"/>
        <v>0</v>
      </c>
    </row>
    <row r="21" spans="1:10">
      <c r="A21" s="17" t="s">
        <v>596</v>
      </c>
      <c r="B21" s="18" t="s">
        <v>138</v>
      </c>
      <c r="C21" s="421">
        <v>1454049</v>
      </c>
      <c r="D21" s="421">
        <v>1063675.48</v>
      </c>
      <c r="E21" s="422">
        <f t="shared" si="3"/>
        <v>-390373.52</v>
      </c>
      <c r="F21" s="423">
        <f t="shared" si="2"/>
        <v>73.152657166299079</v>
      </c>
    </row>
    <row r="22" spans="1:10" ht="25.5">
      <c r="A22" s="17" t="s">
        <v>597</v>
      </c>
      <c r="B22" s="18" t="s">
        <v>139</v>
      </c>
      <c r="C22" s="421">
        <v>93460</v>
      </c>
      <c r="D22" s="421">
        <v>129430.81</v>
      </c>
      <c r="E22" s="422">
        <f t="shared" si="3"/>
        <v>35970.81</v>
      </c>
      <c r="F22" s="423">
        <f t="shared" si="2"/>
        <v>138.48791996576074</v>
      </c>
    </row>
    <row r="23" spans="1:10">
      <c r="A23" s="17" t="s">
        <v>598</v>
      </c>
      <c r="B23" s="18" t="s">
        <v>140</v>
      </c>
      <c r="C23" s="421"/>
      <c r="D23" s="421"/>
      <c r="E23" s="422">
        <f t="shared" si="3"/>
        <v>0</v>
      </c>
      <c r="F23" s="423">
        <f t="shared" si="2"/>
        <v>0</v>
      </c>
    </row>
    <row r="24" spans="1:10" ht="25.5">
      <c r="A24" s="17" t="s">
        <v>599</v>
      </c>
      <c r="B24" s="408" t="s">
        <v>601</v>
      </c>
      <c r="C24" s="421">
        <v>32412</v>
      </c>
      <c r="D24" s="421">
        <v>54296.99</v>
      </c>
      <c r="E24" s="62">
        <f t="shared" si="3"/>
        <v>21884.989999999998</v>
      </c>
      <c r="F24" s="88">
        <f t="shared" si="2"/>
        <v>167.5212575589288</v>
      </c>
    </row>
    <row r="25" spans="1:10">
      <c r="A25" s="17" t="s">
        <v>605</v>
      </c>
      <c r="B25" s="18" t="s">
        <v>122</v>
      </c>
      <c r="C25" s="579">
        <v>0</v>
      </c>
      <c r="D25" s="422"/>
      <c r="E25" s="422">
        <f t="shared" si="3"/>
        <v>0</v>
      </c>
      <c r="F25" s="423">
        <f t="shared" si="2"/>
        <v>0</v>
      </c>
    </row>
    <row r="26" spans="1:10" ht="71.25" customHeight="1">
      <c r="A26" s="418">
        <v>2</v>
      </c>
      <c r="B26" s="413" t="s">
        <v>121</v>
      </c>
      <c r="C26" s="419"/>
      <c r="D26" s="419">
        <v>17902</v>
      </c>
      <c r="E26" s="419">
        <f t="shared" ref="E26:E27" si="4">D26-C26</f>
        <v>17902</v>
      </c>
      <c r="F26" s="420">
        <f t="shared" si="2"/>
        <v>0</v>
      </c>
    </row>
    <row r="27" spans="1:10">
      <c r="A27" s="418">
        <v>3</v>
      </c>
      <c r="B27" s="413" t="s">
        <v>122</v>
      </c>
      <c r="C27" s="419">
        <v>0</v>
      </c>
      <c r="D27" s="419"/>
      <c r="E27" s="419">
        <f t="shared" si="4"/>
        <v>0</v>
      </c>
      <c r="F27" s="420">
        <f t="shared" si="2"/>
        <v>0</v>
      </c>
    </row>
    <row r="28" spans="1:10">
      <c r="A28" s="418" t="s">
        <v>33</v>
      </c>
      <c r="B28" s="413" t="s">
        <v>44</v>
      </c>
      <c r="C28" s="419">
        <f>SUM(C29:C40)</f>
        <v>1804680.038283</v>
      </c>
      <c r="D28" s="419">
        <f>SUM(D29:D40)</f>
        <v>1846262.2942620001</v>
      </c>
      <c r="E28" s="419">
        <f>SUM(E29:E40)</f>
        <v>41582.255978999965</v>
      </c>
      <c r="F28" s="420">
        <f t="shared" ref="F28:F29" si="5">IF(C28=0,0,D28/C28*100)</f>
        <v>102.30413453337479</v>
      </c>
      <c r="J28" s="379"/>
    </row>
    <row r="29" spans="1:10">
      <c r="A29" s="17">
        <v>1</v>
      </c>
      <c r="B29" s="18" t="s">
        <v>116</v>
      </c>
      <c r="C29" s="580">
        <v>406451</v>
      </c>
      <c r="D29" s="422">
        <v>389571.36274999997</v>
      </c>
      <c r="E29" s="422">
        <f t="shared" ref="E29" si="6">D29-C29</f>
        <v>-16879.637250000029</v>
      </c>
      <c r="F29" s="423">
        <f t="shared" si="5"/>
        <v>95.847067112640886</v>
      </c>
    </row>
    <row r="30" spans="1:10">
      <c r="A30" s="17">
        <v>2</v>
      </c>
      <c r="B30" s="18" t="s">
        <v>141</v>
      </c>
      <c r="C30" s="580">
        <v>15888</v>
      </c>
      <c r="D30" s="422">
        <v>10675.246561</v>
      </c>
      <c r="E30" s="422">
        <f t="shared" ref="E30:E45" si="7">D30-C30</f>
        <v>-5212.7534390000001</v>
      </c>
      <c r="F30" s="423">
        <f t="shared" ref="F30:F48" si="8">IF(C30=0,0,D30/C30*100)</f>
        <v>67.190625383937558</v>
      </c>
    </row>
    <row r="31" spans="1:10">
      <c r="A31" s="17">
        <v>3</v>
      </c>
      <c r="B31" s="18" t="s">
        <v>133</v>
      </c>
      <c r="C31" s="580">
        <v>504764</v>
      </c>
      <c r="D31" s="422">
        <v>540972.07345899998</v>
      </c>
      <c r="E31" s="422">
        <f t="shared" si="7"/>
        <v>36208.073458999977</v>
      </c>
      <c r="F31" s="423">
        <f t="shared" si="8"/>
        <v>107.17326779623744</v>
      </c>
    </row>
    <row r="32" spans="1:10">
      <c r="A32" s="17">
        <v>4</v>
      </c>
      <c r="B32" s="18" t="s">
        <v>134</v>
      </c>
      <c r="C32" s="580">
        <v>47154</v>
      </c>
      <c r="D32" s="422">
        <v>35558.359390999998</v>
      </c>
      <c r="E32" s="422">
        <f t="shared" si="7"/>
        <v>-11595.640609000002</v>
      </c>
      <c r="F32" s="423">
        <f t="shared" si="8"/>
        <v>75.408999005386605</v>
      </c>
    </row>
    <row r="33" spans="1:6">
      <c r="A33" s="17">
        <v>5</v>
      </c>
      <c r="B33" s="18" t="s">
        <v>135</v>
      </c>
      <c r="C33" s="580">
        <v>18336</v>
      </c>
      <c r="D33" s="422">
        <v>17969.571582</v>
      </c>
      <c r="E33" s="422">
        <f t="shared" si="7"/>
        <v>-366.42841799999951</v>
      </c>
      <c r="F33" s="423">
        <f t="shared" si="8"/>
        <v>98.001590215968591</v>
      </c>
    </row>
    <row r="34" spans="1:6">
      <c r="A34" s="17">
        <v>6</v>
      </c>
      <c r="B34" s="18" t="s">
        <v>136</v>
      </c>
      <c r="C34" s="580">
        <v>18955</v>
      </c>
      <c r="D34" s="422">
        <v>18663.804109000001</v>
      </c>
      <c r="E34" s="422">
        <f t="shared" si="7"/>
        <v>-291.19589099999939</v>
      </c>
      <c r="F34" s="423">
        <f t="shared" si="8"/>
        <v>98.463751564231075</v>
      </c>
    </row>
    <row r="35" spans="1:6">
      <c r="A35" s="17">
        <v>7</v>
      </c>
      <c r="B35" s="18" t="s">
        <v>137</v>
      </c>
      <c r="C35" s="580">
        <v>9162</v>
      </c>
      <c r="D35" s="422">
        <v>8379.3900410000006</v>
      </c>
      <c r="E35" s="422">
        <f t="shared" si="7"/>
        <v>-782.60995899999944</v>
      </c>
      <c r="F35" s="423">
        <f t="shared" si="8"/>
        <v>91.458088201266108</v>
      </c>
    </row>
    <row r="36" spans="1:6">
      <c r="A36" s="17">
        <v>8</v>
      </c>
      <c r="B36" s="18" t="s">
        <v>138</v>
      </c>
      <c r="C36" s="580">
        <v>239286</v>
      </c>
      <c r="D36" s="422">
        <v>330963.85456000001</v>
      </c>
      <c r="E36" s="422">
        <f t="shared" si="7"/>
        <v>91677.854560000007</v>
      </c>
      <c r="F36" s="423">
        <f t="shared" si="8"/>
        <v>138.31308750198508</v>
      </c>
    </row>
    <row r="37" spans="1:6" ht="25.5">
      <c r="A37" s="17">
        <v>9</v>
      </c>
      <c r="B37" s="18" t="s">
        <v>139</v>
      </c>
      <c r="C37" s="580">
        <v>337273</v>
      </c>
      <c r="D37" s="422">
        <v>345043.49102100002</v>
      </c>
      <c r="E37" s="422">
        <f t="shared" si="7"/>
        <v>7770.4910210000235</v>
      </c>
      <c r="F37" s="423">
        <f t="shared" si="8"/>
        <v>102.30391730764099</v>
      </c>
    </row>
    <row r="38" spans="1:6">
      <c r="A38" s="17">
        <v>10</v>
      </c>
      <c r="B38" s="18" t="s">
        <v>140</v>
      </c>
      <c r="C38" s="580">
        <v>69514.038283000002</v>
      </c>
      <c r="D38" s="422">
        <v>22961.437645999998</v>
      </c>
      <c r="E38" s="422">
        <f t="shared" si="7"/>
        <v>-46552.600637000003</v>
      </c>
      <c r="F38" s="423">
        <f t="shared" si="8"/>
        <v>33.031367782894769</v>
      </c>
    </row>
    <row r="39" spans="1:6" ht="25.5">
      <c r="A39" s="425">
        <v>11</v>
      </c>
      <c r="B39" s="426" t="s">
        <v>601</v>
      </c>
      <c r="C39" s="580">
        <v>91846</v>
      </c>
      <c r="D39" s="427">
        <v>121545.515782</v>
      </c>
      <c r="E39" s="422">
        <f t="shared" ref="E39" si="9">D39-C39</f>
        <v>29699.515782000002</v>
      </c>
      <c r="F39" s="423">
        <f t="shared" ref="F39" si="10">IF(C39=0,0,D39/C39*100)</f>
        <v>132.33621037606429</v>
      </c>
    </row>
    <row r="40" spans="1:6">
      <c r="A40" s="17">
        <v>12</v>
      </c>
      <c r="B40" s="18" t="s">
        <v>142</v>
      </c>
      <c r="C40" s="580">
        <v>46051</v>
      </c>
      <c r="D40" s="422">
        <v>3958.1873599999999</v>
      </c>
      <c r="E40" s="422">
        <f t="shared" si="7"/>
        <v>-42092.812640000004</v>
      </c>
      <c r="F40" s="423">
        <f t="shared" si="8"/>
        <v>8.5952256411370005</v>
      </c>
    </row>
    <row r="41" spans="1:6" ht="25.5">
      <c r="A41" s="418" t="s">
        <v>37</v>
      </c>
      <c r="B41" s="413" t="s">
        <v>595</v>
      </c>
      <c r="C41" s="419">
        <v>2200</v>
      </c>
      <c r="D41" s="419">
        <v>9699.7659999999996</v>
      </c>
      <c r="E41" s="419">
        <f t="shared" si="7"/>
        <v>7499.7659999999996</v>
      </c>
      <c r="F41" s="420">
        <f t="shared" si="8"/>
        <v>440.89845454545451</v>
      </c>
    </row>
    <row r="42" spans="1:6">
      <c r="A42" s="418" t="s">
        <v>39</v>
      </c>
      <c r="B42" s="413" t="s">
        <v>143</v>
      </c>
      <c r="C42" s="419">
        <v>1000</v>
      </c>
      <c r="D42" s="419">
        <v>24154</v>
      </c>
      <c r="E42" s="419">
        <f t="shared" si="7"/>
        <v>23154</v>
      </c>
      <c r="F42" s="420">
        <f t="shared" si="8"/>
        <v>2415.4</v>
      </c>
    </row>
    <row r="43" spans="1:6">
      <c r="A43" s="418" t="s">
        <v>40</v>
      </c>
      <c r="B43" s="413" t="s">
        <v>46</v>
      </c>
      <c r="C43" s="419">
        <v>67330</v>
      </c>
      <c r="D43" s="419"/>
      <c r="E43" s="419">
        <f t="shared" si="7"/>
        <v>-67330</v>
      </c>
      <c r="F43" s="420">
        <f t="shared" si="8"/>
        <v>0</v>
      </c>
    </row>
    <row r="44" spans="1:6">
      <c r="A44" s="428" t="s">
        <v>125</v>
      </c>
      <c r="B44" s="429" t="s">
        <v>527</v>
      </c>
      <c r="C44" s="430">
        <v>48400</v>
      </c>
      <c r="D44" s="430">
        <v>22936.998068000001</v>
      </c>
      <c r="E44" s="419">
        <f t="shared" si="7"/>
        <v>-25463.001931999999</v>
      </c>
      <c r="F44" s="420">
        <f t="shared" si="8"/>
        <v>47.39049187603306</v>
      </c>
    </row>
    <row r="45" spans="1:6" ht="76.5">
      <c r="A45" s="418" t="s">
        <v>157</v>
      </c>
      <c r="B45" s="413" t="s">
        <v>600</v>
      </c>
      <c r="C45" s="419">
        <v>1010785</v>
      </c>
      <c r="D45" s="431">
        <f>289829.139638-22.938</f>
        <v>289806.20163799997</v>
      </c>
      <c r="E45" s="419">
        <f t="shared" si="7"/>
        <v>-720978.79836200003</v>
      </c>
      <c r="F45" s="420">
        <f t="shared" si="8"/>
        <v>28.671399124245017</v>
      </c>
    </row>
    <row r="46" spans="1:6">
      <c r="A46" s="418" t="s">
        <v>469</v>
      </c>
      <c r="B46" s="406" t="s">
        <v>607</v>
      </c>
      <c r="C46" s="432"/>
      <c r="D46" s="432">
        <v>11000</v>
      </c>
      <c r="E46" s="432"/>
      <c r="F46" s="89"/>
    </row>
    <row r="47" spans="1:6">
      <c r="A47" s="418" t="s">
        <v>606</v>
      </c>
      <c r="B47" s="413" t="s">
        <v>717</v>
      </c>
      <c r="C47" s="419"/>
      <c r="D47" s="419"/>
      <c r="E47" s="419">
        <f>D47-C47</f>
        <v>0</v>
      </c>
      <c r="F47" s="420">
        <f t="shared" ref="F47" si="11">IF(C47=0,0,D47/C47*100)</f>
        <v>0</v>
      </c>
    </row>
    <row r="48" spans="1:6">
      <c r="A48" s="418" t="s">
        <v>51</v>
      </c>
      <c r="B48" s="413" t="s">
        <v>128</v>
      </c>
      <c r="C48" s="419"/>
      <c r="D48" s="419">
        <v>1955445.8067010001</v>
      </c>
      <c r="E48" s="419">
        <f>D48-C48</f>
        <v>1955445.8067010001</v>
      </c>
      <c r="F48" s="420">
        <f t="shared" si="8"/>
        <v>0</v>
      </c>
    </row>
    <row r="49" spans="1:6">
      <c r="A49" s="433" t="s">
        <v>52</v>
      </c>
      <c r="B49" s="434" t="s">
        <v>559</v>
      </c>
      <c r="C49" s="435"/>
      <c r="D49" s="435">
        <v>318370.00949199998</v>
      </c>
      <c r="E49" s="435">
        <f t="shared" ref="E49" si="12">D49-C49</f>
        <v>318370.00949199998</v>
      </c>
      <c r="F49" s="436">
        <f t="shared" ref="F49" si="13">IF(C49=0,0,D49/C49*100)</f>
        <v>0</v>
      </c>
    </row>
    <row r="50" spans="1:6" ht="30" customHeight="1">
      <c r="A50" s="622" t="s">
        <v>540</v>
      </c>
      <c r="B50" s="622"/>
      <c r="C50" s="622"/>
      <c r="D50" s="622"/>
      <c r="E50" s="622"/>
      <c r="F50" s="622"/>
    </row>
    <row r="51" spans="1:6" ht="34.5" customHeight="1">
      <c r="A51" s="619" t="s">
        <v>144</v>
      </c>
      <c r="B51" s="619"/>
      <c r="C51" s="619"/>
      <c r="D51" s="619"/>
      <c r="E51" s="619"/>
      <c r="F51" s="619"/>
    </row>
    <row r="52" spans="1:6" ht="34.5" customHeight="1">
      <c r="A52" s="619" t="s">
        <v>568</v>
      </c>
      <c r="B52" s="619"/>
      <c r="C52" s="619"/>
      <c r="D52" s="619"/>
      <c r="E52" s="619"/>
      <c r="F52" s="619"/>
    </row>
    <row r="53" spans="1:6">
      <c r="A53" s="619"/>
      <c r="B53" s="619"/>
      <c r="C53" s="619"/>
      <c r="D53" s="619"/>
      <c r="E53" s="619"/>
      <c r="F53" s="619"/>
    </row>
  </sheetData>
  <mergeCells count="12">
    <mergeCell ref="A53:F53"/>
    <mergeCell ref="A2:F2"/>
    <mergeCell ref="A3:F3"/>
    <mergeCell ref="E5:F5"/>
    <mergeCell ref="A50:F50"/>
    <mergeCell ref="A51:F51"/>
    <mergeCell ref="A6:A7"/>
    <mergeCell ref="B6:B7"/>
    <mergeCell ref="C6:C7"/>
    <mergeCell ref="D6:D7"/>
    <mergeCell ref="E6:F6"/>
    <mergeCell ref="A52:F52"/>
  </mergeCells>
  <dataValidations count="1">
    <dataValidation allowBlank="1" showInputMessage="1" showErrorMessage="1" prompt="Chưa bao gồm bổ sung mục tiêu NS cấp dưới" sqref="D9"/>
  </dataValidations>
  <pageMargins left="0.7" right="0.7" top="0.75" bottom="0.75" header="0.3" footer="0.3"/>
  <pageSetup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Zeros="0" zoomScaleNormal="100" workbookViewId="0">
      <pane xSplit="2" ySplit="7" topLeftCell="C27" activePane="bottomRight" state="frozen"/>
      <selection pane="topRight" activeCell="C1" sqref="C1"/>
      <selection pane="bottomLeft" activeCell="A8" sqref="A8"/>
      <selection pane="bottomRight" activeCell="L11" sqref="L11"/>
    </sheetView>
  </sheetViews>
  <sheetFormatPr defaultColWidth="9.140625" defaultRowHeight="15" outlineLevelRow="1"/>
  <cols>
    <col min="1" max="1" width="9.140625" style="370"/>
    <col min="2" max="2" width="38.140625" style="370" customWidth="1"/>
    <col min="3" max="3" width="11.85546875" style="370" customWidth="1"/>
    <col min="4" max="4" width="10.7109375" style="370" customWidth="1"/>
    <col min="5" max="5" width="11" style="370" customWidth="1"/>
    <col min="6" max="6" width="10.42578125" style="370" bestFit="1" customWidth="1"/>
    <col min="7" max="9" width="11.42578125" style="370" bestFit="1" customWidth="1"/>
    <col min="10" max="11" width="9.140625" style="370"/>
    <col min="12" max="12" width="16.28515625" style="370" customWidth="1"/>
    <col min="13" max="13" width="10.7109375" style="370" bestFit="1" customWidth="1"/>
    <col min="14" max="16384" width="9.140625" style="370"/>
  </cols>
  <sheetData>
    <row r="1" spans="1:15">
      <c r="A1" s="400" t="s">
        <v>536</v>
      </c>
    </row>
    <row r="2" spans="1:15" ht="33" customHeight="1">
      <c r="A2" s="620" t="s">
        <v>645</v>
      </c>
      <c r="B2" s="620"/>
      <c r="C2" s="620"/>
      <c r="D2" s="620"/>
      <c r="E2" s="620"/>
      <c r="F2" s="620"/>
      <c r="G2" s="620"/>
      <c r="H2" s="620"/>
      <c r="I2" s="620"/>
      <c r="J2" s="620"/>
      <c r="K2" s="620"/>
    </row>
    <row r="3" spans="1:15" ht="15.75" customHeight="1">
      <c r="A3" s="621" t="s">
        <v>641</v>
      </c>
      <c r="B3" s="621"/>
      <c r="C3" s="621"/>
      <c r="D3" s="621"/>
      <c r="E3" s="621"/>
      <c r="F3" s="621"/>
      <c r="G3" s="621"/>
      <c r="H3" s="621"/>
      <c r="I3" s="621"/>
      <c r="J3" s="621"/>
      <c r="K3" s="621"/>
    </row>
    <row r="4" spans="1:15">
      <c r="G4" s="379"/>
      <c r="J4" s="624" t="s">
        <v>539</v>
      </c>
      <c r="K4" s="624"/>
    </row>
    <row r="5" spans="1:15">
      <c r="A5" s="607" t="s">
        <v>16</v>
      </c>
      <c r="B5" s="607" t="s">
        <v>17</v>
      </c>
      <c r="C5" s="607" t="s">
        <v>646</v>
      </c>
      <c r="D5" s="607" t="s">
        <v>145</v>
      </c>
      <c r="E5" s="607"/>
      <c r="F5" s="607" t="s">
        <v>19</v>
      </c>
      <c r="G5" s="607" t="s">
        <v>145</v>
      </c>
      <c r="H5" s="607"/>
      <c r="I5" s="607" t="s">
        <v>64</v>
      </c>
      <c r="J5" s="607"/>
      <c r="K5" s="607"/>
      <c r="L5" s="379"/>
    </row>
    <row r="6" spans="1:15" ht="45.75" customHeight="1">
      <c r="A6" s="607"/>
      <c r="B6" s="607"/>
      <c r="C6" s="607"/>
      <c r="D6" s="35" t="s">
        <v>517</v>
      </c>
      <c r="E6" s="35" t="s">
        <v>518</v>
      </c>
      <c r="F6" s="607"/>
      <c r="G6" s="35" t="s">
        <v>517</v>
      </c>
      <c r="H6" s="35" t="s">
        <v>518</v>
      </c>
      <c r="I6" s="35" t="s">
        <v>146</v>
      </c>
      <c r="J6" s="35" t="s">
        <v>519</v>
      </c>
      <c r="K6" s="35" t="s">
        <v>520</v>
      </c>
    </row>
    <row r="7" spans="1:15">
      <c r="A7" s="35" t="s">
        <v>23</v>
      </c>
      <c r="B7" s="35" t="s">
        <v>24</v>
      </c>
      <c r="C7" s="35" t="s">
        <v>147</v>
      </c>
      <c r="D7" s="35">
        <v>2</v>
      </c>
      <c r="E7" s="35">
        <v>3</v>
      </c>
      <c r="F7" s="35" t="s">
        <v>148</v>
      </c>
      <c r="G7" s="35">
        <v>5</v>
      </c>
      <c r="H7" s="35">
        <v>6</v>
      </c>
      <c r="I7" s="35" t="s">
        <v>149</v>
      </c>
      <c r="J7" s="35" t="s">
        <v>150</v>
      </c>
      <c r="K7" s="35" t="s">
        <v>151</v>
      </c>
      <c r="L7" s="379"/>
    </row>
    <row r="8" spans="1:15">
      <c r="A8" s="38"/>
      <c r="B8" s="39" t="s">
        <v>42</v>
      </c>
      <c r="C8" s="36">
        <f>D8+E8</f>
        <v>8597048</v>
      </c>
      <c r="D8" s="36">
        <f>D9+D33+D59</f>
        <v>4639439</v>
      </c>
      <c r="E8" s="36">
        <f>E9+E33+E59</f>
        <v>3957609</v>
      </c>
      <c r="F8" s="36">
        <f>'Bieu 51'!E7</f>
        <v>12005744.061772998</v>
      </c>
      <c r="G8" s="36">
        <f>G9+G33+G59+G60</f>
        <v>5884741.7829250004</v>
      </c>
      <c r="H8" s="36">
        <f>F8-G8</f>
        <v>6121002.278847998</v>
      </c>
      <c r="I8" s="40">
        <f t="shared" ref="I8" si="0">IF(C8=0,0,F8/C8*100)</f>
        <v>139.64961067767678</v>
      </c>
      <c r="J8" s="40">
        <f t="shared" ref="J8" si="1">IF(D8=0,0,G8/D8*100)</f>
        <v>126.84166734221532</v>
      </c>
      <c r="K8" s="40">
        <f t="shared" ref="K8" si="2">IF(E8=0,0,H8/E8*100)</f>
        <v>154.66414895579624</v>
      </c>
      <c r="L8" s="379"/>
      <c r="M8" s="379"/>
      <c r="N8" s="379"/>
    </row>
    <row r="9" spans="1:15" ht="25.5">
      <c r="A9" s="438" t="s">
        <v>23</v>
      </c>
      <c r="B9" s="439" t="s">
        <v>524</v>
      </c>
      <c r="C9" s="440">
        <f t="shared" ref="C9:C10" si="3">D9+E9</f>
        <v>7150317</v>
      </c>
      <c r="D9" s="441">
        <f>D10+D32</f>
        <v>3194008</v>
      </c>
      <c r="E9" s="441">
        <f>E10+E32</f>
        <v>3956309</v>
      </c>
      <c r="F9" s="441">
        <f>F10+F32</f>
        <v>6539335.7344669998</v>
      </c>
      <c r="G9" s="441">
        <f>G10+G32</f>
        <v>2503222.5879770005</v>
      </c>
      <c r="H9" s="441">
        <f>H10+H32</f>
        <v>4036112.9464899991</v>
      </c>
      <c r="I9" s="168">
        <f t="shared" ref="I9:K11" si="4">IF(C9=0,0,F9/C9*100)</f>
        <v>91.455186315054277</v>
      </c>
      <c r="J9" s="168">
        <f t="shared" si="4"/>
        <v>78.372458302452614</v>
      </c>
      <c r="K9" s="168">
        <f t="shared" si="4"/>
        <v>102.01713128297105</v>
      </c>
      <c r="L9" s="379"/>
      <c r="M9" s="379"/>
    </row>
    <row r="10" spans="1:15">
      <c r="A10" s="438" t="s">
        <v>525</v>
      </c>
      <c r="B10" s="439" t="s">
        <v>152</v>
      </c>
      <c r="C10" s="440">
        <f t="shared" si="3"/>
        <v>7101917</v>
      </c>
      <c r="D10" s="441">
        <f>D11+D22+D26+D27+D28+D29+D30</f>
        <v>3145608</v>
      </c>
      <c r="E10" s="441">
        <f>E11+E22+E26+E27+E28+E29+E30</f>
        <v>3956309</v>
      </c>
      <c r="F10" s="441">
        <f>F11+F22+F26+F27+F28+F30+F29+F31+0.2</f>
        <v>6516398.7363989996</v>
      </c>
      <c r="G10" s="441">
        <f>G11+G22+G26+G27+G28+G30+G29+G31</f>
        <v>2480285.5899090003</v>
      </c>
      <c r="H10" s="441">
        <f>H11+H22+H26+H27+H28+H30</f>
        <v>4036112.9464899991</v>
      </c>
      <c r="I10" s="168">
        <f t="shared" si="4"/>
        <v>91.755489910667777</v>
      </c>
      <c r="J10" s="168">
        <f t="shared" si="4"/>
        <v>78.849163338502464</v>
      </c>
      <c r="K10" s="168">
        <f t="shared" si="4"/>
        <v>102.01713128297105</v>
      </c>
      <c r="L10" s="379"/>
      <c r="M10" s="379"/>
    </row>
    <row r="11" spans="1:15">
      <c r="A11" s="442" t="s">
        <v>28</v>
      </c>
      <c r="B11" s="443" t="s">
        <v>43</v>
      </c>
      <c r="C11" s="440">
        <f>D11+E11</f>
        <v>808020</v>
      </c>
      <c r="D11" s="440">
        <f>D12+D20+D21</f>
        <v>322529</v>
      </c>
      <c r="E11" s="440">
        <f>E12+E20+E21</f>
        <v>485491</v>
      </c>
      <c r="F11" s="441">
        <f>'Bieu 51'!E10</f>
        <v>1127172.75397</v>
      </c>
      <c r="G11" s="169">
        <f>G12+G20+G21</f>
        <v>378390.36010699999</v>
      </c>
      <c r="H11" s="169">
        <f>H12+H20+H21</f>
        <v>748782.39386299998</v>
      </c>
      <c r="I11" s="168">
        <f t="shared" si="4"/>
        <v>139.49812553773421</v>
      </c>
      <c r="J11" s="168">
        <f t="shared" si="4"/>
        <v>117.31979453227461</v>
      </c>
      <c r="K11" s="168">
        <f t="shared" si="4"/>
        <v>154.23198243901535</v>
      </c>
      <c r="L11" s="379"/>
      <c r="M11" s="379"/>
    </row>
    <row r="12" spans="1:15">
      <c r="A12" s="444">
        <v>1</v>
      </c>
      <c r="B12" s="445" t="s">
        <v>114</v>
      </c>
      <c r="C12" s="446">
        <f>D12+E12</f>
        <v>808020</v>
      </c>
      <c r="D12" s="447">
        <v>322529</v>
      </c>
      <c r="E12" s="447">
        <v>485491</v>
      </c>
      <c r="F12" s="448">
        <f>'Bieu 51'!E11</f>
        <v>1109270.75397</v>
      </c>
      <c r="G12" s="294">
        <f>360488.360107</f>
        <v>360488.36010699999</v>
      </c>
      <c r="H12" s="170">
        <f>F12-G12</f>
        <v>748782.39386299998</v>
      </c>
      <c r="I12" s="171">
        <f t="shared" ref="I12:I58" si="5">IF(C12=0,0,F12/C12*100)</f>
        <v>137.28258631840794</v>
      </c>
      <c r="J12" s="171">
        <f t="shared" ref="J12:J58" si="6">IF(D12=0,0,G12/D12*100)</f>
        <v>111.76928589584192</v>
      </c>
      <c r="K12" s="171">
        <f t="shared" ref="K12:K58" si="7">IF(E12=0,0,H12/E12*100)</f>
        <v>154.23198243901535</v>
      </c>
      <c r="L12" s="379"/>
      <c r="M12" s="379"/>
      <c r="N12" s="379"/>
      <c r="O12" s="379"/>
    </row>
    <row r="13" spans="1:15" s="454" customFormat="1">
      <c r="A13" s="449"/>
      <c r="B13" s="450" t="s">
        <v>115</v>
      </c>
      <c r="C13" s="451">
        <f>D13+E13</f>
        <v>0</v>
      </c>
      <c r="D13" s="452"/>
      <c r="E13" s="452"/>
      <c r="F13" s="449"/>
      <c r="G13" s="468"/>
      <c r="H13" s="166"/>
      <c r="I13" s="167">
        <f t="shared" si="5"/>
        <v>0</v>
      </c>
      <c r="J13" s="167">
        <f t="shared" si="6"/>
        <v>0</v>
      </c>
      <c r="K13" s="167">
        <f t="shared" si="7"/>
        <v>0</v>
      </c>
      <c r="L13" s="379"/>
      <c r="M13" s="453"/>
    </row>
    <row r="14" spans="1:15" s="454" customFormat="1">
      <c r="A14" s="449" t="s">
        <v>30</v>
      </c>
      <c r="B14" s="450" t="s">
        <v>116</v>
      </c>
      <c r="C14" s="451">
        <f t="shared" ref="C14:C19" si="8">D14+E14</f>
        <v>85378.572</v>
      </c>
      <c r="D14" s="452">
        <v>5367.5720000000001</v>
      </c>
      <c r="E14" s="452">
        <v>80011</v>
      </c>
      <c r="F14" s="455">
        <f>'Bieu 51'!E13</f>
        <v>212080.246442</v>
      </c>
      <c r="G14" s="468">
        <v>38875</v>
      </c>
      <c r="H14" s="166">
        <f>F14-G14</f>
        <v>173205.246442</v>
      </c>
      <c r="I14" s="167">
        <f t="shared" si="5"/>
        <v>248.39985194645794</v>
      </c>
      <c r="J14" s="167">
        <f t="shared" si="6"/>
        <v>724.25670303071854</v>
      </c>
      <c r="K14" s="167">
        <f t="shared" si="7"/>
        <v>216.47679249353214</v>
      </c>
      <c r="L14" s="379"/>
      <c r="M14" s="453"/>
    </row>
    <row r="15" spans="1:15" s="454" customFormat="1">
      <c r="A15" s="449" t="s">
        <v>30</v>
      </c>
      <c r="B15" s="450" t="s">
        <v>117</v>
      </c>
      <c r="C15" s="451">
        <f t="shared" si="8"/>
        <v>12900</v>
      </c>
      <c r="D15" s="452">
        <v>12900</v>
      </c>
      <c r="E15" s="452">
        <v>0</v>
      </c>
      <c r="F15" s="455">
        <f>'Bieu 51'!E14</f>
        <v>19547.661734000001</v>
      </c>
      <c r="G15" s="468">
        <v>19548</v>
      </c>
      <c r="H15" s="166">
        <f>'Bieu 51'!E14-'bieu 53'!G15</f>
        <v>-0.33826599999883911</v>
      </c>
      <c r="I15" s="167">
        <f t="shared" si="5"/>
        <v>151.53226150387599</v>
      </c>
      <c r="J15" s="167">
        <f t="shared" si="6"/>
        <v>151.53488372093022</v>
      </c>
      <c r="K15" s="167">
        <f t="shared" si="7"/>
        <v>0</v>
      </c>
      <c r="L15" s="379"/>
      <c r="M15" s="453"/>
    </row>
    <row r="16" spans="1:15" s="454" customFormat="1">
      <c r="A16" s="449"/>
      <c r="B16" s="450" t="s">
        <v>118</v>
      </c>
      <c r="C16" s="451">
        <f t="shared" si="8"/>
        <v>0</v>
      </c>
      <c r="D16" s="452"/>
      <c r="E16" s="452"/>
      <c r="F16" s="449"/>
      <c r="G16" s="468"/>
      <c r="H16" s="166"/>
      <c r="I16" s="167">
        <f t="shared" si="5"/>
        <v>0</v>
      </c>
      <c r="J16" s="167">
        <f t="shared" si="6"/>
        <v>0</v>
      </c>
      <c r="K16" s="167">
        <f t="shared" si="7"/>
        <v>0</v>
      </c>
      <c r="L16" s="379"/>
      <c r="M16" s="453"/>
    </row>
    <row r="17" spans="1:13" s="454" customFormat="1">
      <c r="A17" s="449" t="s">
        <v>30</v>
      </c>
      <c r="B17" s="450" t="s">
        <v>119</v>
      </c>
      <c r="C17" s="451">
        <f t="shared" si="8"/>
        <v>235000</v>
      </c>
      <c r="D17" s="452">
        <v>17200</v>
      </c>
      <c r="E17" s="452">
        <v>217800</v>
      </c>
      <c r="F17" s="455">
        <f t="shared" ref="F17:F18" si="9">G17+H17</f>
        <v>300864.56334100006</v>
      </c>
      <c r="G17" s="468">
        <v>4700</v>
      </c>
      <c r="H17" s="166">
        <v>296164.56334100006</v>
      </c>
      <c r="I17" s="167">
        <f t="shared" si="5"/>
        <v>128.0274737621277</v>
      </c>
      <c r="J17" s="167">
        <f t="shared" si="6"/>
        <v>27.325581395348834</v>
      </c>
      <c r="K17" s="167">
        <f t="shared" si="7"/>
        <v>135.98005663039487</v>
      </c>
      <c r="L17" s="379"/>
      <c r="M17" s="453"/>
    </row>
    <row r="18" spans="1:13" s="454" customFormat="1">
      <c r="A18" s="449" t="s">
        <v>30</v>
      </c>
      <c r="B18" s="450" t="s">
        <v>120</v>
      </c>
      <c r="C18" s="451">
        <f t="shared" si="8"/>
        <v>60000</v>
      </c>
      <c r="D18" s="452">
        <v>50290</v>
      </c>
      <c r="E18" s="452">
        <v>9710</v>
      </c>
      <c r="F18" s="455">
        <f t="shared" si="9"/>
        <v>35264</v>
      </c>
      <c r="G18" s="468">
        <v>35264</v>
      </c>
      <c r="H18" s="166"/>
      <c r="I18" s="167">
        <f t="shared" si="5"/>
        <v>58.773333333333333</v>
      </c>
      <c r="J18" s="167">
        <f t="shared" si="6"/>
        <v>70.121296480413591</v>
      </c>
      <c r="K18" s="167">
        <f t="shared" si="7"/>
        <v>0</v>
      </c>
      <c r="L18" s="379"/>
      <c r="M18" s="453"/>
    </row>
    <row r="19" spans="1:13" s="454" customFormat="1" ht="38.25">
      <c r="A19" s="449" t="s">
        <v>30</v>
      </c>
      <c r="B19" s="450" t="s">
        <v>658</v>
      </c>
      <c r="C19" s="451">
        <f t="shared" si="8"/>
        <v>6800</v>
      </c>
      <c r="D19" s="451">
        <v>6800</v>
      </c>
      <c r="E19" s="449"/>
      <c r="F19" s="455">
        <f>G19+H19</f>
        <v>25426</v>
      </c>
      <c r="G19" s="468">
        <v>25426</v>
      </c>
      <c r="H19" s="166"/>
      <c r="I19" s="167"/>
      <c r="J19" s="167"/>
      <c r="K19" s="167"/>
      <c r="L19" s="379"/>
      <c r="M19" s="453"/>
    </row>
    <row r="20" spans="1:13" ht="63.75">
      <c r="A20" s="444">
        <v>2</v>
      </c>
      <c r="B20" s="445" t="s">
        <v>121</v>
      </c>
      <c r="C20" s="446"/>
      <c r="D20" s="446"/>
      <c r="E20" s="447">
        <f t="shared" ref="E20:E21" si="10">C20-D20</f>
        <v>0</v>
      </c>
      <c r="F20" s="446">
        <f>G20+H20</f>
        <v>17902</v>
      </c>
      <c r="G20" s="446">
        <f>'bieu 52'!D26</f>
        <v>17902</v>
      </c>
      <c r="H20" s="446"/>
      <c r="I20" s="171">
        <f t="shared" si="5"/>
        <v>0</v>
      </c>
      <c r="J20" s="171">
        <f t="shared" si="6"/>
        <v>0</v>
      </c>
      <c r="K20" s="171">
        <f t="shared" si="7"/>
        <v>0</v>
      </c>
      <c r="L20" s="379"/>
      <c r="M20" s="379"/>
    </row>
    <row r="21" spans="1:13">
      <c r="A21" s="444">
        <v>3</v>
      </c>
      <c r="B21" s="445" t="s">
        <v>122</v>
      </c>
      <c r="C21" s="446"/>
      <c r="D21" s="446">
        <v>0</v>
      </c>
      <c r="E21" s="447">
        <f t="shared" si="10"/>
        <v>0</v>
      </c>
      <c r="F21" s="446">
        <f>G21+H21</f>
        <v>0</v>
      </c>
      <c r="G21" s="446"/>
      <c r="H21" s="446"/>
      <c r="I21" s="171">
        <f t="shared" si="5"/>
        <v>0</v>
      </c>
      <c r="J21" s="171">
        <f t="shared" si="6"/>
        <v>0</v>
      </c>
      <c r="K21" s="171">
        <f t="shared" si="7"/>
        <v>0</v>
      </c>
      <c r="L21" s="379"/>
      <c r="M21" s="379"/>
    </row>
    <row r="22" spans="1:13" s="400" customFormat="1">
      <c r="A22" s="438" t="s">
        <v>33</v>
      </c>
      <c r="B22" s="439" t="s">
        <v>44</v>
      </c>
      <c r="C22" s="440">
        <f>'Bieu 51'!D21</f>
        <v>4959919</v>
      </c>
      <c r="D22" s="440">
        <v>1741764</v>
      </c>
      <c r="E22" s="440">
        <v>3218155</v>
      </c>
      <c r="F22" s="440">
        <f>'Bieu 51'!E21</f>
        <v>5030942.4719049996</v>
      </c>
      <c r="G22" s="440">
        <f>'bieu 52'!D28-G50-'Bieu 61'!AC13</f>
        <v>1767235.2621640002</v>
      </c>
      <c r="H22" s="440">
        <f>F22-G22</f>
        <v>3263707.2097409992</v>
      </c>
      <c r="I22" s="168">
        <f t="shared" si="5"/>
        <v>101.43194822143265</v>
      </c>
      <c r="J22" s="168">
        <f t="shared" si="6"/>
        <v>101.46238308772028</v>
      </c>
      <c r="K22" s="168">
        <f t="shared" si="7"/>
        <v>101.41547594012717</v>
      </c>
      <c r="L22" s="379"/>
      <c r="M22" s="379"/>
    </row>
    <row r="23" spans="1:13">
      <c r="A23" s="456"/>
      <c r="B23" s="450" t="s">
        <v>123</v>
      </c>
      <c r="C23" s="440"/>
      <c r="D23" s="446"/>
      <c r="E23" s="446"/>
      <c r="F23" s="446"/>
      <c r="G23" s="446"/>
      <c r="H23" s="446"/>
      <c r="I23" s="171">
        <f t="shared" si="5"/>
        <v>0</v>
      </c>
      <c r="J23" s="171">
        <f t="shared" si="6"/>
        <v>0</v>
      </c>
      <c r="K23" s="171">
        <f t="shared" si="7"/>
        <v>0</v>
      </c>
      <c r="L23" s="379"/>
      <c r="M23" s="379"/>
    </row>
    <row r="24" spans="1:13" s="454" customFormat="1">
      <c r="A24" s="449">
        <v>1</v>
      </c>
      <c r="B24" s="450" t="s">
        <v>116</v>
      </c>
      <c r="C24" s="451">
        <f>D24+E24</f>
        <v>2271049</v>
      </c>
      <c r="D24" s="451">
        <v>406451</v>
      </c>
      <c r="E24" s="451">
        <v>1864598</v>
      </c>
      <c r="F24" s="451">
        <f>'Bieu 51'!E23</f>
        <v>2252031.432664</v>
      </c>
      <c r="G24" s="451">
        <f>'bieu 52'!D29</f>
        <v>389571.36274999997</v>
      </c>
      <c r="H24" s="451">
        <f>F24-G24</f>
        <v>1862460.0699140001</v>
      </c>
      <c r="I24" s="167">
        <f t="shared" si="5"/>
        <v>99.162608673965195</v>
      </c>
      <c r="J24" s="167">
        <f t="shared" si="6"/>
        <v>95.847067112640886</v>
      </c>
      <c r="K24" s="167">
        <f t="shared" si="7"/>
        <v>99.885340964325835</v>
      </c>
      <c r="L24" s="379"/>
      <c r="M24" s="453"/>
    </row>
    <row r="25" spans="1:13" s="454" customFormat="1">
      <c r="A25" s="449">
        <v>2</v>
      </c>
      <c r="B25" s="450" t="s">
        <v>124</v>
      </c>
      <c r="C25" s="451">
        <f>D25+E25</f>
        <v>16388</v>
      </c>
      <c r="D25" s="451">
        <v>14888</v>
      </c>
      <c r="E25" s="451">
        <v>1500</v>
      </c>
      <c r="F25" s="455">
        <f>'Bieu 51'!E24</f>
        <v>12202.081040999999</v>
      </c>
      <c r="G25" s="451">
        <f>'bieu 52'!D30</f>
        <v>10675.246561</v>
      </c>
      <c r="H25" s="451">
        <f>'Bieu 51'!E24-'bieu 53'!G25</f>
        <v>1526.8344799999995</v>
      </c>
      <c r="I25" s="167">
        <f t="shared" si="5"/>
        <v>74.457414211618257</v>
      </c>
      <c r="J25" s="167">
        <f t="shared" si="6"/>
        <v>71.703698018538418</v>
      </c>
      <c r="K25" s="167">
        <f t="shared" si="7"/>
        <v>101.78896533333331</v>
      </c>
      <c r="L25" s="379"/>
      <c r="M25" s="453"/>
    </row>
    <row r="26" spans="1:13" s="400" customFormat="1" ht="25.5">
      <c r="A26" s="438" t="s">
        <v>37</v>
      </c>
      <c r="B26" s="439" t="s">
        <v>571</v>
      </c>
      <c r="C26" s="440">
        <f>D26+E26</f>
        <v>2200</v>
      </c>
      <c r="D26" s="440">
        <v>2200</v>
      </c>
      <c r="E26" s="440"/>
      <c r="F26" s="440">
        <f>'Bieu 51'!E25</f>
        <v>9699.7659999999996</v>
      </c>
      <c r="G26" s="440">
        <f>'Bieu 51'!E25</f>
        <v>9699.7659999999996</v>
      </c>
      <c r="H26" s="440">
        <f>F26-G26</f>
        <v>0</v>
      </c>
      <c r="I26" s="168">
        <f t="shared" si="5"/>
        <v>440.89845454545451</v>
      </c>
      <c r="J26" s="168">
        <f t="shared" si="6"/>
        <v>440.89845454545451</v>
      </c>
      <c r="K26" s="168">
        <f t="shared" si="7"/>
        <v>0</v>
      </c>
      <c r="L26" s="379"/>
      <c r="M26" s="379"/>
    </row>
    <row r="27" spans="1:13" s="400" customFormat="1">
      <c r="A27" s="438" t="s">
        <v>39</v>
      </c>
      <c r="B27" s="439" t="s">
        <v>45</v>
      </c>
      <c r="C27" s="440">
        <f t="shared" ref="C27:C29" si="11">D27+E27</f>
        <v>1000</v>
      </c>
      <c r="D27" s="440">
        <v>1000</v>
      </c>
      <c r="E27" s="440"/>
      <c r="F27" s="440">
        <f>'Bieu 51'!E26</f>
        <v>24154</v>
      </c>
      <c r="G27" s="440">
        <v>24154</v>
      </c>
      <c r="H27" s="440">
        <f>F27-G27</f>
        <v>0</v>
      </c>
      <c r="I27" s="168">
        <f t="shared" si="5"/>
        <v>2415.4</v>
      </c>
      <c r="J27" s="168">
        <f t="shared" si="6"/>
        <v>2415.4</v>
      </c>
      <c r="K27" s="168">
        <f t="shared" si="7"/>
        <v>0</v>
      </c>
      <c r="L27" s="379"/>
      <c r="M27" s="379"/>
    </row>
    <row r="28" spans="1:13" s="400" customFormat="1">
      <c r="A28" s="438" t="s">
        <v>40</v>
      </c>
      <c r="B28" s="439" t="s">
        <v>46</v>
      </c>
      <c r="C28" s="440">
        <f t="shared" si="11"/>
        <v>142038</v>
      </c>
      <c r="D28" s="440">
        <v>67330</v>
      </c>
      <c r="E28" s="440">
        <v>74708</v>
      </c>
      <c r="F28" s="440"/>
      <c r="G28" s="440"/>
      <c r="H28" s="440"/>
      <c r="I28" s="168">
        <f t="shared" si="5"/>
        <v>0</v>
      </c>
      <c r="J28" s="168">
        <f t="shared" si="6"/>
        <v>0</v>
      </c>
      <c r="K28" s="168">
        <f t="shared" si="7"/>
        <v>0</v>
      </c>
      <c r="L28" s="379"/>
      <c r="M28" s="379"/>
    </row>
    <row r="29" spans="1:13" s="400" customFormat="1" ht="76.5">
      <c r="A29" s="442" t="s">
        <v>125</v>
      </c>
      <c r="B29" s="443" t="s">
        <v>600</v>
      </c>
      <c r="C29" s="440">
        <f t="shared" si="11"/>
        <v>1188740</v>
      </c>
      <c r="D29" s="440">
        <v>1010785</v>
      </c>
      <c r="E29" s="440">
        <v>177955</v>
      </c>
      <c r="F29" s="440">
        <f>'Bieu 51'!E28</f>
        <v>289806.20163799997</v>
      </c>
      <c r="G29" s="440">
        <f>'bieu 52'!D45</f>
        <v>289806.20163799997</v>
      </c>
      <c r="H29" s="440">
        <f>F29-G29</f>
        <v>0</v>
      </c>
      <c r="I29" s="168"/>
      <c r="J29" s="168">
        <f t="shared" si="6"/>
        <v>28.671399124245017</v>
      </c>
      <c r="K29" s="168"/>
      <c r="L29" s="379"/>
      <c r="M29" s="379"/>
    </row>
    <row r="30" spans="1:13" s="400" customFormat="1">
      <c r="A30" s="442" t="s">
        <v>157</v>
      </c>
      <c r="B30" s="443" t="s">
        <v>717</v>
      </c>
      <c r="C30" s="440"/>
      <c r="D30" s="440"/>
      <c r="E30" s="440">
        <f t="shared" ref="E30" si="12">C30-D30</f>
        <v>0</v>
      </c>
      <c r="F30" s="457">
        <f>'Bieu 51'!E30</f>
        <v>23623.342885999999</v>
      </c>
      <c r="G30" s="172">
        <f>'bieu 52'!D47</f>
        <v>0</v>
      </c>
      <c r="H30" s="172">
        <f>F30-G30</f>
        <v>23623.342885999999</v>
      </c>
      <c r="I30" s="168">
        <f t="shared" si="5"/>
        <v>0</v>
      </c>
      <c r="J30" s="168">
        <f t="shared" si="6"/>
        <v>0</v>
      </c>
      <c r="K30" s="168">
        <f t="shared" si="7"/>
        <v>0</v>
      </c>
      <c r="L30" s="379"/>
      <c r="M30" s="379"/>
    </row>
    <row r="31" spans="1:13" s="400" customFormat="1">
      <c r="A31" s="442" t="s">
        <v>469</v>
      </c>
      <c r="B31" s="443" t="s">
        <v>607</v>
      </c>
      <c r="C31" s="440"/>
      <c r="D31" s="440"/>
      <c r="E31" s="440">
        <f t="shared" ref="E31" si="13">C31-D31</f>
        <v>0</v>
      </c>
      <c r="F31" s="457">
        <f>'Bieu 51'!E29</f>
        <v>11000</v>
      </c>
      <c r="G31" s="172">
        <f>'bieu 52'!D46</f>
        <v>11000</v>
      </c>
      <c r="H31" s="172">
        <f>F31-G31</f>
        <v>0</v>
      </c>
      <c r="I31" s="168">
        <f t="shared" ref="I31" si="14">IF(C31=0,0,F31/C31*100)</f>
        <v>0</v>
      </c>
      <c r="J31" s="168">
        <f t="shared" ref="J31" si="15">IF(D31=0,0,G31/D31*100)</f>
        <v>0</v>
      </c>
      <c r="K31" s="168">
        <f t="shared" ref="K31" si="16">IF(E31=0,0,H31/E31*100)</f>
        <v>0</v>
      </c>
      <c r="L31" s="379"/>
      <c r="M31" s="379"/>
    </row>
    <row r="32" spans="1:13" s="400" customFormat="1">
      <c r="A32" s="438" t="s">
        <v>526</v>
      </c>
      <c r="B32" s="439" t="s">
        <v>527</v>
      </c>
      <c r="C32" s="440">
        <f t="shared" ref="C32:C38" si="17">D32+E32</f>
        <v>48400</v>
      </c>
      <c r="D32" s="441">
        <v>48400</v>
      </c>
      <c r="E32" s="440">
        <v>0</v>
      </c>
      <c r="F32" s="457">
        <f>'Bieu 51'!E31</f>
        <v>22936.998068000001</v>
      </c>
      <c r="G32" s="172">
        <v>22936.998068000001</v>
      </c>
      <c r="H32" s="172">
        <f>F32-G32</f>
        <v>0</v>
      </c>
      <c r="I32" s="168">
        <f t="shared" si="5"/>
        <v>47.39049187603306</v>
      </c>
      <c r="J32" s="168">
        <f t="shared" si="6"/>
        <v>47.39049187603306</v>
      </c>
      <c r="K32" s="168">
        <f t="shared" si="7"/>
        <v>0</v>
      </c>
      <c r="L32" s="379"/>
      <c r="M32" s="379"/>
    </row>
    <row r="33" spans="1:13">
      <c r="A33" s="438" t="s">
        <v>24</v>
      </c>
      <c r="B33" s="439" t="s">
        <v>126</v>
      </c>
      <c r="C33" s="440">
        <f t="shared" si="17"/>
        <v>1446731</v>
      </c>
      <c r="D33" s="440">
        <f>D34+D38</f>
        <v>1445431</v>
      </c>
      <c r="E33" s="440">
        <f>E34+E38</f>
        <v>1300</v>
      </c>
      <c r="F33" s="440">
        <f>F34+F38</f>
        <v>1389457.812434</v>
      </c>
      <c r="G33" s="440">
        <f>G34+G38</f>
        <v>1107703.378755</v>
      </c>
      <c r="H33" s="440">
        <f>H34+H38</f>
        <v>281754.43367900001</v>
      </c>
      <c r="I33" s="168">
        <f t="shared" si="5"/>
        <v>96.041199948988449</v>
      </c>
      <c r="J33" s="168">
        <f t="shared" si="6"/>
        <v>76.634815411804496</v>
      </c>
      <c r="K33" s="168">
        <f t="shared" si="7"/>
        <v>21673.417975307693</v>
      </c>
      <c r="L33" s="379"/>
      <c r="M33" s="379"/>
    </row>
    <row r="34" spans="1:13">
      <c r="A34" s="438" t="s">
        <v>28</v>
      </c>
      <c r="B34" s="439" t="s">
        <v>48</v>
      </c>
      <c r="C34" s="440">
        <f t="shared" ref="C34:E34" si="18">C35+C36+C37</f>
        <v>0</v>
      </c>
      <c r="D34" s="440">
        <f t="shared" si="18"/>
        <v>0</v>
      </c>
      <c r="E34" s="440">
        <f t="shared" si="18"/>
        <v>0</v>
      </c>
      <c r="F34" s="440">
        <f>F35+F36+F37</f>
        <v>307765.92214800004</v>
      </c>
      <c r="G34" s="440">
        <f t="shared" ref="G34:H34" si="19">G35+G36+G37</f>
        <v>27309.388468999998</v>
      </c>
      <c r="H34" s="440">
        <f t="shared" si="19"/>
        <v>280456.53367899999</v>
      </c>
      <c r="I34" s="168">
        <f t="shared" si="5"/>
        <v>0</v>
      </c>
      <c r="J34" s="168">
        <f t="shared" si="6"/>
        <v>0</v>
      </c>
      <c r="K34" s="168">
        <f t="shared" si="7"/>
        <v>0</v>
      </c>
      <c r="L34" s="379"/>
      <c r="M34" s="379"/>
    </row>
    <row r="35" spans="1:13">
      <c r="A35" s="456">
        <v>1</v>
      </c>
      <c r="B35" s="469" t="s">
        <v>205</v>
      </c>
      <c r="C35" s="440">
        <f t="shared" si="17"/>
        <v>0</v>
      </c>
      <c r="D35" s="446"/>
      <c r="E35" s="440"/>
      <c r="F35" s="446">
        <f>G35+H35</f>
        <v>92094.31191400002</v>
      </c>
      <c r="G35" s="446">
        <f>'Bieu 61'!AD13</f>
        <v>2352.9217040000003</v>
      </c>
      <c r="H35" s="446">
        <f>'Bieu 61'!AD42</f>
        <v>89741.390210000012</v>
      </c>
      <c r="I35" s="171">
        <f t="shared" si="5"/>
        <v>0</v>
      </c>
      <c r="J35" s="171">
        <f t="shared" si="6"/>
        <v>0</v>
      </c>
      <c r="K35" s="171">
        <f t="shared" si="7"/>
        <v>0</v>
      </c>
      <c r="L35" s="379"/>
      <c r="M35" s="379"/>
    </row>
    <row r="36" spans="1:13">
      <c r="A36" s="456">
        <v>2</v>
      </c>
      <c r="B36" s="469" t="s">
        <v>206</v>
      </c>
      <c r="C36" s="440">
        <f t="shared" si="17"/>
        <v>0</v>
      </c>
      <c r="D36" s="446"/>
      <c r="E36" s="440"/>
      <c r="F36" s="446">
        <f>G36+H36</f>
        <v>76617.220791999993</v>
      </c>
      <c r="G36" s="446">
        <f>'Bieu 61'!AK13</f>
        <v>6694.0690869999989</v>
      </c>
      <c r="H36" s="446">
        <f>'Bieu 61'!AK42</f>
        <v>69923.151704999997</v>
      </c>
      <c r="I36" s="171">
        <f t="shared" si="5"/>
        <v>0</v>
      </c>
      <c r="J36" s="171">
        <f t="shared" si="6"/>
        <v>0</v>
      </c>
      <c r="K36" s="171">
        <f t="shared" si="7"/>
        <v>0</v>
      </c>
      <c r="L36" s="379"/>
      <c r="M36" s="379"/>
    </row>
    <row r="37" spans="1:13" ht="51" customHeight="1">
      <c r="A37" s="456">
        <v>3</v>
      </c>
      <c r="B37" s="470" t="s">
        <v>744</v>
      </c>
      <c r="C37" s="197"/>
      <c r="D37" s="471"/>
      <c r="E37" s="197"/>
      <c r="F37" s="446">
        <f>G37+H37</f>
        <v>139054.38944200001</v>
      </c>
      <c r="G37" s="471">
        <f>'Bieu 61'!AR13</f>
        <v>18262.397677999998</v>
      </c>
      <c r="H37" s="471">
        <f>'Bieu 61'!AR42</f>
        <v>120791.99176400001</v>
      </c>
      <c r="I37" s="472"/>
      <c r="J37" s="472"/>
      <c r="K37" s="472"/>
      <c r="L37" s="379"/>
      <c r="M37" s="379"/>
    </row>
    <row r="38" spans="1:13">
      <c r="A38" s="438" t="s">
        <v>33</v>
      </c>
      <c r="B38" s="439" t="s">
        <v>127</v>
      </c>
      <c r="C38" s="440">
        <f t="shared" si="17"/>
        <v>1446731</v>
      </c>
      <c r="D38" s="440">
        <f>D39+D50</f>
        <v>1445431</v>
      </c>
      <c r="E38" s="440">
        <f>E39+E50</f>
        <v>1300</v>
      </c>
      <c r="F38" s="440">
        <f>'Bieu 51'!E37</f>
        <v>1081691.890286</v>
      </c>
      <c r="G38" s="440">
        <f>G39+G50</f>
        <v>1080393.9902860001</v>
      </c>
      <c r="H38" s="440">
        <f>H39+H50</f>
        <v>1297.9000000000001</v>
      </c>
      <c r="I38" s="168">
        <f t="shared" si="5"/>
        <v>74.768003885034602</v>
      </c>
      <c r="J38" s="168">
        <f t="shared" si="6"/>
        <v>74.745455873438445</v>
      </c>
      <c r="K38" s="168">
        <f t="shared" si="7"/>
        <v>99.838461538461544</v>
      </c>
      <c r="L38" s="379"/>
      <c r="M38" s="379"/>
    </row>
    <row r="39" spans="1:13">
      <c r="A39" s="442" t="s">
        <v>207</v>
      </c>
      <c r="B39" s="443" t="s">
        <v>208</v>
      </c>
      <c r="C39" s="440">
        <f>D39+E39</f>
        <v>1382515</v>
      </c>
      <c r="D39" s="440">
        <f>D45+D40</f>
        <v>1382515</v>
      </c>
      <c r="E39" s="440">
        <f>E45+E40</f>
        <v>0</v>
      </c>
      <c r="F39" s="440">
        <f>'Bieu 51'!E38</f>
        <v>1025371.9902860001</v>
      </c>
      <c r="G39" s="440">
        <f>G45+G40</f>
        <v>1025371.9902860001</v>
      </c>
      <c r="H39" s="440">
        <f>H45+H40</f>
        <v>0</v>
      </c>
      <c r="I39" s="168">
        <f t="shared" si="5"/>
        <v>74.167151190837004</v>
      </c>
      <c r="J39" s="168">
        <f t="shared" si="6"/>
        <v>74.167151190837004</v>
      </c>
      <c r="K39" s="168">
        <f t="shared" si="7"/>
        <v>0</v>
      </c>
      <c r="L39" s="379"/>
      <c r="M39" s="379"/>
    </row>
    <row r="40" spans="1:13" hidden="1" outlineLevel="1">
      <c r="A40" s="395">
        <v>1</v>
      </c>
      <c r="B40" s="396" t="s">
        <v>209</v>
      </c>
      <c r="C40" s="458">
        <f>SUM(C41:C44)</f>
        <v>292168</v>
      </c>
      <c r="D40" s="458">
        <f t="shared" ref="D40:G40" si="20">SUM(D41:D44)</f>
        <v>292168</v>
      </c>
      <c r="E40" s="458">
        <f t="shared" si="20"/>
        <v>0</v>
      </c>
      <c r="F40" s="458">
        <f t="shared" si="20"/>
        <v>147349.483634</v>
      </c>
      <c r="G40" s="458">
        <f t="shared" si="20"/>
        <v>147349.483634</v>
      </c>
      <c r="H40" s="440"/>
      <c r="I40" s="168"/>
      <c r="J40" s="168"/>
      <c r="K40" s="168"/>
      <c r="L40" s="379"/>
      <c r="M40" s="379"/>
    </row>
    <row r="41" spans="1:13" ht="25.5" hidden="1" outlineLevel="1">
      <c r="A41" s="459" t="s">
        <v>30</v>
      </c>
      <c r="B41" s="460" t="s">
        <v>531</v>
      </c>
      <c r="C41" s="461">
        <f>D41+E41</f>
        <v>14968</v>
      </c>
      <c r="D41" s="461">
        <v>14968</v>
      </c>
      <c r="E41" s="461"/>
      <c r="F41" s="461">
        <f>G41+H41</f>
        <v>12113.023902999999</v>
      </c>
      <c r="G41" s="461">
        <v>12113.023902999999</v>
      </c>
      <c r="H41" s="440"/>
      <c r="I41" s="168"/>
      <c r="J41" s="168"/>
      <c r="K41" s="168"/>
      <c r="L41" s="379"/>
      <c r="M41" s="379"/>
    </row>
    <row r="42" spans="1:13" hidden="1" outlineLevel="1">
      <c r="A42" s="459" t="s">
        <v>30</v>
      </c>
      <c r="B42" s="462" t="s">
        <v>532</v>
      </c>
      <c r="C42" s="461">
        <f t="shared" ref="C42:C44" si="21">D42+E42</f>
        <v>12750</v>
      </c>
      <c r="D42" s="461">
        <v>12750</v>
      </c>
      <c r="E42" s="461"/>
      <c r="F42" s="461">
        <f t="shared" ref="F42:F44" si="22">G42+H42</f>
        <v>9184.7167270000009</v>
      </c>
      <c r="G42" s="461">
        <v>9184.7167270000009</v>
      </c>
      <c r="H42" s="446"/>
      <c r="I42" s="171"/>
      <c r="J42" s="171"/>
      <c r="K42" s="171"/>
      <c r="L42" s="379"/>
      <c r="M42" s="379"/>
    </row>
    <row r="43" spans="1:13" ht="25.5" hidden="1" outlineLevel="1">
      <c r="A43" s="459" t="s">
        <v>30</v>
      </c>
      <c r="B43" s="463" t="s">
        <v>262</v>
      </c>
      <c r="C43" s="461">
        <f t="shared" si="21"/>
        <v>220000</v>
      </c>
      <c r="D43" s="461">
        <v>220000</v>
      </c>
      <c r="E43" s="461"/>
      <c r="F43" s="461">
        <f t="shared" si="22"/>
        <v>90952.904225000006</v>
      </c>
      <c r="G43" s="461">
        <f>90222.006517+730.897708</f>
        <v>90952.904225000006</v>
      </c>
      <c r="H43" s="446"/>
      <c r="I43" s="171"/>
      <c r="J43" s="171"/>
      <c r="K43" s="171"/>
      <c r="L43" s="379"/>
      <c r="M43" s="379"/>
    </row>
    <row r="44" spans="1:13" ht="38.25" hidden="1" outlineLevel="1">
      <c r="A44" s="459" t="s">
        <v>30</v>
      </c>
      <c r="B44" s="464" t="s">
        <v>533</v>
      </c>
      <c r="C44" s="461">
        <f t="shared" si="21"/>
        <v>44450</v>
      </c>
      <c r="D44" s="461">
        <v>44450</v>
      </c>
      <c r="E44" s="461"/>
      <c r="F44" s="461">
        <f t="shared" si="22"/>
        <v>35098.838778999998</v>
      </c>
      <c r="G44" s="461">
        <v>35098.838778999998</v>
      </c>
      <c r="H44" s="440"/>
      <c r="I44" s="168"/>
      <c r="J44" s="168"/>
      <c r="K44" s="168"/>
      <c r="L44" s="379"/>
      <c r="M44" s="379"/>
    </row>
    <row r="45" spans="1:13" hidden="1" outlineLevel="1">
      <c r="A45" s="395" t="s">
        <v>534</v>
      </c>
      <c r="B45" s="396" t="s">
        <v>172</v>
      </c>
      <c r="C45" s="458">
        <f t="shared" ref="C45:G45" si="23">SUM(C46:C49)</f>
        <v>1090347</v>
      </c>
      <c r="D45" s="458">
        <f t="shared" si="23"/>
        <v>1090347</v>
      </c>
      <c r="E45" s="458">
        <f t="shared" si="23"/>
        <v>0</v>
      </c>
      <c r="F45" s="458">
        <f t="shared" si="23"/>
        <v>878022.50665200013</v>
      </c>
      <c r="G45" s="458">
        <f t="shared" si="23"/>
        <v>878022.50665200013</v>
      </c>
      <c r="H45" s="446"/>
      <c r="I45" s="171"/>
      <c r="J45" s="171"/>
      <c r="K45" s="171"/>
      <c r="L45" s="379"/>
      <c r="M45" s="379"/>
    </row>
    <row r="46" spans="1:13" hidden="1" outlineLevel="1">
      <c r="A46" s="459" t="s">
        <v>30</v>
      </c>
      <c r="B46" s="460" t="s">
        <v>608</v>
      </c>
      <c r="C46" s="461">
        <f>D46+E46</f>
        <v>726755</v>
      </c>
      <c r="D46" s="461">
        <v>726755</v>
      </c>
      <c r="E46" s="461"/>
      <c r="F46" s="461">
        <f>G46+H46</f>
        <v>449062.72099999996</v>
      </c>
      <c r="G46" s="461">
        <f>385038.411415+19341.268216+44683.041369</f>
        <v>449062.72099999996</v>
      </c>
      <c r="H46" s="446"/>
      <c r="I46" s="171"/>
      <c r="J46" s="171"/>
      <c r="K46" s="171"/>
      <c r="L46" s="379"/>
      <c r="M46" s="379"/>
    </row>
    <row r="47" spans="1:13" ht="25.5" hidden="1" outlineLevel="1">
      <c r="A47" s="459" t="s">
        <v>30</v>
      </c>
      <c r="B47" s="404" t="s">
        <v>609</v>
      </c>
      <c r="C47" s="461">
        <f t="shared" ref="C47:C49" si="24">D47+E47</f>
        <v>154000</v>
      </c>
      <c r="D47" s="461">
        <v>154000</v>
      </c>
      <c r="E47" s="461"/>
      <c r="F47" s="461">
        <f t="shared" ref="F47:F49" si="25">G47+H47</f>
        <v>165346.185895</v>
      </c>
      <c r="G47" s="461">
        <f>93380.943073+71943.156822+22.086</f>
        <v>165346.185895</v>
      </c>
      <c r="H47" s="446"/>
      <c r="I47" s="171"/>
      <c r="J47" s="171"/>
      <c r="K47" s="171"/>
      <c r="L47" s="379"/>
      <c r="M47" s="379"/>
    </row>
    <row r="48" spans="1:13" hidden="1" outlineLevel="1">
      <c r="A48" s="459" t="s">
        <v>30</v>
      </c>
      <c r="B48" s="404" t="s">
        <v>610</v>
      </c>
      <c r="C48" s="461">
        <f t="shared" si="24"/>
        <v>189592</v>
      </c>
      <c r="D48" s="461">
        <v>189592</v>
      </c>
      <c r="E48" s="461"/>
      <c r="F48" s="461">
        <f t="shared" si="25"/>
        <v>219037.88592500001</v>
      </c>
      <c r="G48" s="461">
        <f>217057.238782+1980.647143</f>
        <v>219037.88592500001</v>
      </c>
      <c r="H48" s="446"/>
      <c r="I48" s="171"/>
      <c r="J48" s="171"/>
      <c r="K48" s="171"/>
      <c r="L48" s="379"/>
      <c r="M48" s="379"/>
    </row>
    <row r="49" spans="1:13" hidden="1" outlineLevel="1">
      <c r="A49" s="459" t="s">
        <v>30</v>
      </c>
      <c r="B49" s="460" t="s">
        <v>611</v>
      </c>
      <c r="C49" s="461">
        <f t="shared" si="24"/>
        <v>20000</v>
      </c>
      <c r="D49" s="461">
        <v>20000</v>
      </c>
      <c r="E49" s="461"/>
      <c r="F49" s="461">
        <f t="shared" si="25"/>
        <v>44575.713831999994</v>
      </c>
      <c r="G49" s="461">
        <f>38286.467+6289.246832</f>
        <v>44575.713831999994</v>
      </c>
      <c r="H49" s="440"/>
      <c r="I49" s="168"/>
      <c r="J49" s="168"/>
      <c r="K49" s="168"/>
      <c r="L49" s="379"/>
      <c r="M49" s="379"/>
    </row>
    <row r="50" spans="1:13" collapsed="1">
      <c r="A50" s="438" t="s">
        <v>210</v>
      </c>
      <c r="B50" s="439" t="s">
        <v>211</v>
      </c>
      <c r="C50" s="440">
        <f>'Bieu 51'!D49</f>
        <v>64216</v>
      </c>
      <c r="D50" s="440">
        <f>D51+D53</f>
        <v>62916</v>
      </c>
      <c r="E50" s="440">
        <f>E51+E53</f>
        <v>1300</v>
      </c>
      <c r="F50" s="440">
        <f>F53+F51</f>
        <v>56319.9</v>
      </c>
      <c r="G50" s="440">
        <f>G53+G51</f>
        <v>55022</v>
      </c>
      <c r="H50" s="440">
        <f>H53+H51</f>
        <v>1297.9000000000001</v>
      </c>
      <c r="I50" s="168">
        <f t="shared" si="5"/>
        <v>87.703843278933604</v>
      </c>
      <c r="J50" s="168">
        <f t="shared" si="6"/>
        <v>87.45311208595588</v>
      </c>
      <c r="K50" s="168">
        <f t="shared" si="7"/>
        <v>99.838461538461544</v>
      </c>
      <c r="L50" s="379"/>
      <c r="M50" s="379"/>
    </row>
    <row r="51" spans="1:13" s="400" customFormat="1" hidden="1" outlineLevel="1">
      <c r="A51" s="438">
        <v>1</v>
      </c>
      <c r="B51" s="439" t="s">
        <v>171</v>
      </c>
      <c r="C51" s="440">
        <f>'Bieu 51'!D50</f>
        <v>3790</v>
      </c>
      <c r="D51" s="440">
        <f>D52</f>
        <v>3790</v>
      </c>
      <c r="E51" s="440">
        <f t="shared" ref="E51:H51" si="26">E52</f>
        <v>0</v>
      </c>
      <c r="F51" s="440">
        <f t="shared" si="26"/>
        <v>0</v>
      </c>
      <c r="G51" s="440">
        <f t="shared" si="26"/>
        <v>0</v>
      </c>
      <c r="H51" s="440">
        <f t="shared" si="26"/>
        <v>0</v>
      </c>
      <c r="I51" s="168">
        <f t="shared" si="5"/>
        <v>0</v>
      </c>
      <c r="J51" s="168">
        <f t="shared" si="6"/>
        <v>0</v>
      </c>
      <c r="K51" s="168">
        <f t="shared" si="7"/>
        <v>0</v>
      </c>
      <c r="L51" s="379"/>
      <c r="M51" s="379"/>
    </row>
    <row r="52" spans="1:13" hidden="1" outlineLevel="1">
      <c r="A52" s="456" t="s">
        <v>521</v>
      </c>
      <c r="B52" s="469" t="s">
        <v>594</v>
      </c>
      <c r="C52" s="446">
        <f>D52+E52</f>
        <v>3790</v>
      </c>
      <c r="D52" s="446">
        <v>3790</v>
      </c>
      <c r="E52" s="446">
        <v>0</v>
      </c>
      <c r="F52" s="446">
        <f t="shared" ref="F52" si="27">G52+H52</f>
        <v>0</v>
      </c>
      <c r="G52" s="446"/>
      <c r="H52" s="446"/>
      <c r="I52" s="171">
        <f t="shared" si="5"/>
        <v>0</v>
      </c>
      <c r="J52" s="171">
        <f t="shared" si="6"/>
        <v>0</v>
      </c>
      <c r="K52" s="171">
        <f t="shared" si="7"/>
        <v>0</v>
      </c>
      <c r="L52" s="379"/>
      <c r="M52" s="379"/>
    </row>
    <row r="53" spans="1:13" s="400" customFormat="1" hidden="1" outlineLevel="1">
      <c r="A53" s="438">
        <v>2</v>
      </c>
      <c r="B53" s="439" t="s">
        <v>172</v>
      </c>
      <c r="C53" s="440">
        <f>D53+E53</f>
        <v>60426</v>
      </c>
      <c r="D53" s="440">
        <f>SUM(D54:D58)</f>
        <v>59126</v>
      </c>
      <c r="E53" s="440">
        <f>SUM(E54:E58)</f>
        <v>1300</v>
      </c>
      <c r="F53" s="440">
        <f>G53+H53</f>
        <v>56319.9</v>
      </c>
      <c r="G53" s="440">
        <f>SUM(G54:G58)</f>
        <v>55022</v>
      </c>
      <c r="H53" s="440">
        <f>SUM(H54:H58)</f>
        <v>1297.9000000000001</v>
      </c>
      <c r="I53" s="168">
        <f t="shared" si="5"/>
        <v>93.204746301261054</v>
      </c>
      <c r="J53" s="168">
        <f t="shared" si="6"/>
        <v>93.058891181544496</v>
      </c>
      <c r="K53" s="168">
        <f t="shared" si="7"/>
        <v>99.838461538461544</v>
      </c>
      <c r="L53" s="379"/>
      <c r="M53" s="379"/>
    </row>
    <row r="54" spans="1:13" ht="28.5" hidden="1" customHeight="1" outlineLevel="1">
      <c r="A54" s="456" t="s">
        <v>194</v>
      </c>
      <c r="B54" s="469" t="s">
        <v>659</v>
      </c>
      <c r="C54" s="446">
        <f>D54+E54</f>
        <v>1000</v>
      </c>
      <c r="D54" s="446">
        <v>1000</v>
      </c>
      <c r="E54" s="446">
        <v>0</v>
      </c>
      <c r="F54" s="446">
        <f>G54+H54</f>
        <v>448</v>
      </c>
      <c r="G54" s="446">
        <v>448</v>
      </c>
      <c r="H54" s="446">
        <v>0</v>
      </c>
      <c r="I54" s="171">
        <f t="shared" si="5"/>
        <v>44.800000000000004</v>
      </c>
      <c r="J54" s="171">
        <f t="shared" si="6"/>
        <v>44.800000000000004</v>
      </c>
      <c r="K54" s="171">
        <f t="shared" si="7"/>
        <v>0</v>
      </c>
      <c r="L54" s="379"/>
      <c r="M54" s="379"/>
    </row>
    <row r="55" spans="1:13" ht="38.25" hidden="1" outlineLevel="1">
      <c r="A55" s="456" t="s">
        <v>195</v>
      </c>
      <c r="B55" s="469" t="s">
        <v>660</v>
      </c>
      <c r="C55" s="446">
        <f t="shared" ref="C55:C58" si="28">D55+E55</f>
        <v>3000</v>
      </c>
      <c r="D55" s="446">
        <v>3000</v>
      </c>
      <c r="E55" s="446">
        <v>0</v>
      </c>
      <c r="F55" s="446">
        <f t="shared" ref="F55:F58" si="29">G55+H55</f>
        <v>0</v>
      </c>
      <c r="G55" s="446">
        <v>0</v>
      </c>
      <c r="H55" s="446">
        <v>0</v>
      </c>
      <c r="I55" s="171">
        <f t="shared" ref="I55" si="30">IF(C55=0,0,F55/C55*100)</f>
        <v>0</v>
      </c>
      <c r="J55" s="171">
        <f t="shared" ref="J55" si="31">IF(D55=0,0,G55/D55*100)</f>
        <v>0</v>
      </c>
      <c r="K55" s="171">
        <f t="shared" ref="K55" si="32">IF(E55=0,0,H55/E55*100)</f>
        <v>0</v>
      </c>
      <c r="L55" s="379"/>
      <c r="M55" s="379"/>
    </row>
    <row r="56" spans="1:13" ht="38.25" hidden="1" outlineLevel="1">
      <c r="A56" s="456" t="s">
        <v>196</v>
      </c>
      <c r="B56" s="469" t="s">
        <v>661</v>
      </c>
      <c r="C56" s="446">
        <f t="shared" si="28"/>
        <v>149</v>
      </c>
      <c r="D56" s="446">
        <v>149</v>
      </c>
      <c r="E56" s="446">
        <v>0</v>
      </c>
      <c r="F56" s="446">
        <f t="shared" si="29"/>
        <v>149</v>
      </c>
      <c r="G56" s="446">
        <v>149</v>
      </c>
      <c r="H56" s="446">
        <v>0</v>
      </c>
      <c r="I56" s="171">
        <f t="shared" si="5"/>
        <v>100</v>
      </c>
      <c r="J56" s="171">
        <f t="shared" si="6"/>
        <v>100</v>
      </c>
      <c r="K56" s="171">
        <f t="shared" si="7"/>
        <v>0</v>
      </c>
      <c r="L56" s="379"/>
      <c r="M56" s="379"/>
    </row>
    <row r="57" spans="1:13" ht="25.5" hidden="1" outlineLevel="1">
      <c r="A57" s="456" t="s">
        <v>664</v>
      </c>
      <c r="B57" s="469" t="s">
        <v>662</v>
      </c>
      <c r="C57" s="446">
        <f t="shared" si="28"/>
        <v>13000</v>
      </c>
      <c r="D57" s="446">
        <v>11700</v>
      </c>
      <c r="E57" s="446">
        <v>1300</v>
      </c>
      <c r="F57" s="446">
        <f t="shared" si="29"/>
        <v>12516.9</v>
      </c>
      <c r="G57" s="446">
        <v>11219</v>
      </c>
      <c r="H57" s="446">
        <v>1297.9000000000001</v>
      </c>
      <c r="I57" s="171">
        <f t="shared" si="5"/>
        <v>96.283846153846156</v>
      </c>
      <c r="J57" s="171">
        <f t="shared" si="6"/>
        <v>95.888888888888886</v>
      </c>
      <c r="K57" s="171">
        <f t="shared" si="7"/>
        <v>99.838461538461544</v>
      </c>
      <c r="L57" s="379"/>
      <c r="M57" s="379"/>
    </row>
    <row r="58" spans="1:13" ht="25.5" hidden="1" outlineLevel="1">
      <c r="A58" s="456" t="s">
        <v>665</v>
      </c>
      <c r="B58" s="469" t="s">
        <v>663</v>
      </c>
      <c r="C58" s="446">
        <f t="shared" si="28"/>
        <v>43277</v>
      </c>
      <c r="D58" s="446">
        <v>43277</v>
      </c>
      <c r="E58" s="446"/>
      <c r="F58" s="446">
        <f t="shared" si="29"/>
        <v>43206</v>
      </c>
      <c r="G58" s="446">
        <v>43206</v>
      </c>
      <c r="H58" s="446"/>
      <c r="I58" s="171">
        <f t="shared" si="5"/>
        <v>99.835940568893406</v>
      </c>
      <c r="J58" s="171">
        <f t="shared" si="6"/>
        <v>99.835940568893406</v>
      </c>
      <c r="K58" s="171">
        <f t="shared" si="7"/>
        <v>0</v>
      </c>
      <c r="L58" s="379"/>
      <c r="M58" s="379"/>
    </row>
    <row r="59" spans="1:13" collapsed="1">
      <c r="A59" s="438" t="s">
        <v>51</v>
      </c>
      <c r="B59" s="439" t="s">
        <v>128</v>
      </c>
      <c r="C59" s="440">
        <f>'Bieu 51'!D58</f>
        <v>0</v>
      </c>
      <c r="D59" s="440"/>
      <c r="E59" s="440"/>
      <c r="F59" s="440">
        <f>'Bieu 51'!E58</f>
        <v>3563988.770759</v>
      </c>
      <c r="G59" s="440">
        <f>'bieu 52'!D48</f>
        <v>1955445.8067010001</v>
      </c>
      <c r="H59" s="440">
        <f>F59-G59</f>
        <v>1608542.9640579999</v>
      </c>
      <c r="I59" s="168">
        <f t="shared" ref="I59" si="33">IF(C59=0,0,F59/C59*100)</f>
        <v>0</v>
      </c>
      <c r="J59" s="168">
        <f t="shared" ref="J59" si="34">IF(D59=0,0,G59/D59*100)</f>
        <v>0</v>
      </c>
      <c r="K59" s="168">
        <f t="shared" ref="K59" si="35">IF(E59=0,0,H59/E59*100)</f>
        <v>0</v>
      </c>
      <c r="L59" s="379"/>
      <c r="M59" s="379"/>
    </row>
    <row r="60" spans="1:13">
      <c r="A60" s="465" t="s">
        <v>52</v>
      </c>
      <c r="B60" s="466" t="s">
        <v>577</v>
      </c>
      <c r="C60" s="467">
        <f>'Bieu 51'!D59</f>
        <v>0</v>
      </c>
      <c r="D60" s="467"/>
      <c r="E60" s="467"/>
      <c r="F60" s="467">
        <f>'Bieu 51'!E59</f>
        <v>512961.94411300001</v>
      </c>
      <c r="G60" s="467">
        <f>'bieu 52'!D49</f>
        <v>318370.00949199998</v>
      </c>
      <c r="H60" s="467">
        <f>F60-G60</f>
        <v>194591.93462100002</v>
      </c>
      <c r="I60" s="173">
        <f t="shared" ref="I60" si="36">IF(C60=0,0,F60/C60*100)</f>
        <v>0</v>
      </c>
      <c r="J60" s="173">
        <f t="shared" ref="J60" si="37">IF(D60=0,0,G60/D60*100)</f>
        <v>0</v>
      </c>
      <c r="K60" s="173">
        <f t="shared" ref="K60" si="38">IF(E60=0,0,H60/E60*100)</f>
        <v>0</v>
      </c>
      <c r="L60" s="379"/>
      <c r="M60" s="379"/>
    </row>
    <row r="61" spans="1:13">
      <c r="L61" s="379"/>
    </row>
    <row r="62" spans="1:13" ht="27" customHeight="1">
      <c r="A62" s="623" t="s">
        <v>538</v>
      </c>
      <c r="B62" s="623"/>
      <c r="C62" s="623"/>
      <c r="D62" s="623"/>
      <c r="E62" s="623"/>
      <c r="F62" s="623"/>
      <c r="G62" s="623"/>
      <c r="H62" s="623"/>
      <c r="I62" s="623"/>
      <c r="J62" s="623"/>
      <c r="K62" s="623"/>
    </row>
    <row r="63" spans="1:13">
      <c r="F63" s="417"/>
      <c r="G63" s="417"/>
      <c r="H63" s="417"/>
    </row>
    <row r="64" spans="1:13">
      <c r="F64" s="417"/>
      <c r="G64" s="417"/>
      <c r="H64" s="417"/>
    </row>
    <row r="66" spans="7:8">
      <c r="G66" s="417"/>
      <c r="H66" s="417"/>
    </row>
  </sheetData>
  <mergeCells count="11">
    <mergeCell ref="A62:K62"/>
    <mergeCell ref="A2:K2"/>
    <mergeCell ref="A3:K3"/>
    <mergeCell ref="A5:A6"/>
    <mergeCell ref="B5:B6"/>
    <mergeCell ref="C5:C6"/>
    <mergeCell ref="D5:E5"/>
    <mergeCell ref="F5:F6"/>
    <mergeCell ref="G5:H5"/>
    <mergeCell ref="I5:K5"/>
    <mergeCell ref="J4:K4"/>
  </mergeCells>
  <phoneticPr fontId="235" type="noConversion"/>
  <dataValidations count="3">
    <dataValidation allowBlank="1" showInputMessage="1" showErrorMessage="1" prompt="Chưa bao gồm chi chuyển giao ngân sách " sqref="F8 H8"/>
    <dataValidation allowBlank="1" showInputMessage="1" showErrorMessage="1" prompt="Chưa bao gồm chi chuyển giao ngân sách _x000a_" sqref="G8"/>
    <dataValidation allowBlank="1" showInputMessage="1" showErrorMessage="1" prompt="50 triệu CTMT 30a giai đoạn trước" sqref="G12"/>
  </dataValidations>
  <pageMargins left="0.70866141732283505" right="0.70866141732283505" top="0.74803149606299202" bottom="0.74803149606299202" header="0.31496062992126" footer="0.31496062992126"/>
  <pageSetup paperSize="9" scale="9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127"/>
  <sheetViews>
    <sheetView showZeros="0" zoomScale="70" zoomScaleNormal="70" zoomScaleSheetLayoutView="50" workbookViewId="0">
      <selection activeCell="J5" sqref="J5"/>
    </sheetView>
  </sheetViews>
  <sheetFormatPr defaultRowHeight="15.75" outlineLevelCol="2"/>
  <cols>
    <col min="1" max="1" width="5.42578125" style="112" customWidth="1"/>
    <col min="2" max="2" width="45.140625" style="112" customWidth="1"/>
    <col min="3" max="3" width="15.140625" style="112" customWidth="1"/>
    <col min="4" max="4" width="16.42578125" style="112" customWidth="1" outlineLevel="1"/>
    <col min="5" max="5" width="17.140625" style="112" customWidth="1" outlineLevel="1"/>
    <col min="6" max="8" width="17.140625" style="112" customWidth="1" outlineLevel="2"/>
    <col min="9" max="9" width="15.85546875" style="112" customWidth="1" outlineLevel="1"/>
    <col min="10" max="10" width="19.140625" style="112" customWidth="1" outlineLevel="1"/>
    <col min="11" max="11" width="11.140625" style="112" customWidth="1" outlineLevel="1"/>
    <col min="12" max="12" width="11.85546875" style="112" customWidth="1" outlineLevel="1"/>
    <col min="13" max="13" width="10.42578125" style="112" customWidth="1" outlineLevel="1"/>
    <col min="14" max="14" width="16.42578125" style="112" customWidth="1"/>
    <col min="15" max="15" width="14.140625" style="112" customWidth="1" outlineLevel="1"/>
    <col min="16" max="16" width="15.85546875" style="112" customWidth="1" outlineLevel="1"/>
    <col min="17" max="17" width="18.85546875" style="112" customWidth="1" outlineLevel="2"/>
    <col min="18" max="18" width="18.42578125" style="112" customWidth="1" outlineLevel="2"/>
    <col min="19" max="19" width="11.85546875" style="112" customWidth="1" outlineLevel="1"/>
    <col min="20" max="20" width="20.7109375" style="112" customWidth="1" outlineLevel="1"/>
    <col min="21" max="21" width="15.5703125" style="112" customWidth="1" outlineLevel="1"/>
    <col min="22" max="23" width="12.5703125" style="112" customWidth="1" outlineLevel="1"/>
    <col min="24" max="24" width="15.5703125" style="112" customWidth="1" outlineLevel="1"/>
    <col min="25" max="25" width="13.7109375" style="112" hidden="1" customWidth="1" outlineLevel="2"/>
    <col min="26" max="26" width="11.7109375" style="112" hidden="1" customWidth="1" outlineLevel="2"/>
    <col min="27" max="27" width="15" style="112" customWidth="1" outlineLevel="1" collapsed="1"/>
    <col min="28" max="28" width="11.140625" style="112" customWidth="1"/>
    <col min="29" max="29" width="10.7109375" style="112" customWidth="1"/>
    <col min="30" max="30" width="9.7109375" style="112" customWidth="1"/>
    <col min="31" max="31" width="11.5703125" style="112" customWidth="1"/>
    <col min="32" max="32" width="9.140625" style="96"/>
    <col min="33" max="33" width="17.5703125" style="112" customWidth="1"/>
    <col min="34" max="34" width="31.140625" style="112" customWidth="1"/>
    <col min="35" max="35" width="16.7109375" style="112" customWidth="1"/>
    <col min="36" max="36" width="9.140625" style="112"/>
    <col min="37" max="37" width="22.28515625" style="112" customWidth="1"/>
    <col min="38" max="38" width="24.42578125" style="112" customWidth="1"/>
    <col min="39" max="262" width="9.140625" style="112"/>
    <col min="263" max="263" width="5.42578125" style="112" customWidth="1"/>
    <col min="264" max="264" width="45.140625" style="112" customWidth="1"/>
    <col min="265" max="266" width="12" style="112" customWidth="1"/>
    <col min="267" max="267" width="16.140625" style="112" customWidth="1"/>
    <col min="268" max="268" width="7.7109375" style="112" customWidth="1"/>
    <col min="269" max="269" width="12" style="112" customWidth="1"/>
    <col min="270" max="271" width="9" style="112" customWidth="1"/>
    <col min="272" max="272" width="11.28515625" style="112" customWidth="1"/>
    <col min="273" max="274" width="12" style="112" customWidth="1"/>
    <col min="275" max="275" width="17.140625" style="112" customWidth="1"/>
    <col min="276" max="276" width="9" style="112" customWidth="1"/>
    <col min="277" max="277" width="12" style="112" customWidth="1"/>
    <col min="278" max="279" width="9" style="112" customWidth="1"/>
    <col min="280" max="280" width="9.85546875" style="112" customWidth="1"/>
    <col min="281" max="281" width="10.140625" style="112" customWidth="1"/>
    <col min="282" max="282" width="7.85546875" style="112" customWidth="1"/>
    <col min="283" max="283" width="8.5703125" style="112" customWidth="1"/>
    <col min="284" max="284" width="7.85546875" style="112" customWidth="1"/>
    <col min="285" max="285" width="8.7109375" style="112" customWidth="1"/>
    <col min="286" max="518" width="9.140625" style="112"/>
    <col min="519" max="519" width="5.42578125" style="112" customWidth="1"/>
    <col min="520" max="520" width="45.140625" style="112" customWidth="1"/>
    <col min="521" max="522" width="12" style="112" customWidth="1"/>
    <col min="523" max="523" width="16.140625" style="112" customWidth="1"/>
    <col min="524" max="524" width="7.7109375" style="112" customWidth="1"/>
    <col min="525" max="525" width="12" style="112" customWidth="1"/>
    <col min="526" max="527" width="9" style="112" customWidth="1"/>
    <col min="528" max="528" width="11.28515625" style="112" customWidth="1"/>
    <col min="529" max="530" width="12" style="112" customWidth="1"/>
    <col min="531" max="531" width="17.140625" style="112" customWidth="1"/>
    <col min="532" max="532" width="9" style="112" customWidth="1"/>
    <col min="533" max="533" width="12" style="112" customWidth="1"/>
    <col min="534" max="535" width="9" style="112" customWidth="1"/>
    <col min="536" max="536" width="9.85546875" style="112" customWidth="1"/>
    <col min="537" max="537" width="10.140625" style="112" customWidth="1"/>
    <col min="538" max="538" width="7.85546875" style="112" customWidth="1"/>
    <col min="539" max="539" width="8.5703125" style="112" customWidth="1"/>
    <col min="540" max="540" width="7.85546875" style="112" customWidth="1"/>
    <col min="541" max="541" width="8.7109375" style="112" customWidth="1"/>
    <col min="542" max="774" width="9.140625" style="112"/>
    <col min="775" max="775" width="5.42578125" style="112" customWidth="1"/>
    <col min="776" max="776" width="45.140625" style="112" customWidth="1"/>
    <col min="777" max="778" width="12" style="112" customWidth="1"/>
    <col min="779" max="779" width="16.140625" style="112" customWidth="1"/>
    <col min="780" max="780" width="7.7109375" style="112" customWidth="1"/>
    <col min="781" max="781" width="12" style="112" customWidth="1"/>
    <col min="782" max="783" width="9" style="112" customWidth="1"/>
    <col min="784" max="784" width="11.28515625" style="112" customWidth="1"/>
    <col min="785" max="786" width="12" style="112" customWidth="1"/>
    <col min="787" max="787" width="17.140625" style="112" customWidth="1"/>
    <col min="788" max="788" width="9" style="112" customWidth="1"/>
    <col min="789" max="789" width="12" style="112" customWidth="1"/>
    <col min="790" max="791" width="9" style="112" customWidth="1"/>
    <col min="792" max="792" width="9.85546875" style="112" customWidth="1"/>
    <col min="793" max="793" width="10.140625" style="112" customWidth="1"/>
    <col min="794" max="794" width="7.85546875" style="112" customWidth="1"/>
    <col min="795" max="795" width="8.5703125" style="112" customWidth="1"/>
    <col min="796" max="796" width="7.85546875" style="112" customWidth="1"/>
    <col min="797" max="797" width="8.7109375" style="112" customWidth="1"/>
    <col min="798" max="1030" width="9.140625" style="112"/>
    <col min="1031" max="1031" width="5.42578125" style="112" customWidth="1"/>
    <col min="1032" max="1032" width="45.140625" style="112" customWidth="1"/>
    <col min="1033" max="1034" width="12" style="112" customWidth="1"/>
    <col min="1035" max="1035" width="16.140625" style="112" customWidth="1"/>
    <col min="1036" max="1036" width="7.7109375" style="112" customWidth="1"/>
    <col min="1037" max="1037" width="12" style="112" customWidth="1"/>
    <col min="1038" max="1039" width="9" style="112" customWidth="1"/>
    <col min="1040" max="1040" width="11.28515625" style="112" customWidth="1"/>
    <col min="1041" max="1042" width="12" style="112" customWidth="1"/>
    <col min="1043" max="1043" width="17.140625" style="112" customWidth="1"/>
    <col min="1044" max="1044" width="9" style="112" customWidth="1"/>
    <col min="1045" max="1045" width="12" style="112" customWidth="1"/>
    <col min="1046" max="1047" width="9" style="112" customWidth="1"/>
    <col min="1048" max="1048" width="9.85546875" style="112" customWidth="1"/>
    <col min="1049" max="1049" width="10.140625" style="112" customWidth="1"/>
    <col min="1050" max="1050" width="7.85546875" style="112" customWidth="1"/>
    <col min="1051" max="1051" width="8.5703125" style="112" customWidth="1"/>
    <col min="1052" max="1052" width="7.85546875" style="112" customWidth="1"/>
    <col min="1053" max="1053" width="8.7109375" style="112" customWidth="1"/>
    <col min="1054" max="1286" width="9.140625" style="112"/>
    <col min="1287" max="1287" width="5.42578125" style="112" customWidth="1"/>
    <col min="1288" max="1288" width="45.140625" style="112" customWidth="1"/>
    <col min="1289" max="1290" width="12" style="112" customWidth="1"/>
    <col min="1291" max="1291" width="16.140625" style="112" customWidth="1"/>
    <col min="1292" max="1292" width="7.7109375" style="112" customWidth="1"/>
    <col min="1293" max="1293" width="12" style="112" customWidth="1"/>
    <col min="1294" max="1295" width="9" style="112" customWidth="1"/>
    <col min="1296" max="1296" width="11.28515625" style="112" customWidth="1"/>
    <col min="1297" max="1298" width="12" style="112" customWidth="1"/>
    <col min="1299" max="1299" width="17.140625" style="112" customWidth="1"/>
    <col min="1300" max="1300" width="9" style="112" customWidth="1"/>
    <col min="1301" max="1301" width="12" style="112" customWidth="1"/>
    <col min="1302" max="1303" width="9" style="112" customWidth="1"/>
    <col min="1304" max="1304" width="9.85546875" style="112" customWidth="1"/>
    <col min="1305" max="1305" width="10.140625" style="112" customWidth="1"/>
    <col min="1306" max="1306" width="7.85546875" style="112" customWidth="1"/>
    <col min="1307" max="1307" width="8.5703125" style="112" customWidth="1"/>
    <col min="1308" max="1308" width="7.85546875" style="112" customWidth="1"/>
    <col min="1309" max="1309" width="8.7109375" style="112" customWidth="1"/>
    <col min="1310" max="1542" width="9.140625" style="112"/>
    <col min="1543" max="1543" width="5.42578125" style="112" customWidth="1"/>
    <col min="1544" max="1544" width="45.140625" style="112" customWidth="1"/>
    <col min="1545" max="1546" width="12" style="112" customWidth="1"/>
    <col min="1547" max="1547" width="16.140625" style="112" customWidth="1"/>
    <col min="1548" max="1548" width="7.7109375" style="112" customWidth="1"/>
    <col min="1549" max="1549" width="12" style="112" customWidth="1"/>
    <col min="1550" max="1551" width="9" style="112" customWidth="1"/>
    <col min="1552" max="1552" width="11.28515625" style="112" customWidth="1"/>
    <col min="1553" max="1554" width="12" style="112" customWidth="1"/>
    <col min="1555" max="1555" width="17.140625" style="112" customWidth="1"/>
    <col min="1556" max="1556" width="9" style="112" customWidth="1"/>
    <col min="1557" max="1557" width="12" style="112" customWidth="1"/>
    <col min="1558" max="1559" width="9" style="112" customWidth="1"/>
    <col min="1560" max="1560" width="9.85546875" style="112" customWidth="1"/>
    <col min="1561" max="1561" width="10.140625" style="112" customWidth="1"/>
    <col min="1562" max="1562" width="7.85546875" style="112" customWidth="1"/>
    <col min="1563" max="1563" width="8.5703125" style="112" customWidth="1"/>
    <col min="1564" max="1564" width="7.85546875" style="112" customWidth="1"/>
    <col min="1565" max="1565" width="8.7109375" style="112" customWidth="1"/>
    <col min="1566" max="1798" width="9.140625" style="112"/>
    <col min="1799" max="1799" width="5.42578125" style="112" customWidth="1"/>
    <col min="1800" max="1800" width="45.140625" style="112" customWidth="1"/>
    <col min="1801" max="1802" width="12" style="112" customWidth="1"/>
    <col min="1803" max="1803" width="16.140625" style="112" customWidth="1"/>
    <col min="1804" max="1804" width="7.7109375" style="112" customWidth="1"/>
    <col min="1805" max="1805" width="12" style="112" customWidth="1"/>
    <col min="1806" max="1807" width="9" style="112" customWidth="1"/>
    <col min="1808" max="1808" width="11.28515625" style="112" customWidth="1"/>
    <col min="1809" max="1810" width="12" style="112" customWidth="1"/>
    <col min="1811" max="1811" width="17.140625" style="112" customWidth="1"/>
    <col min="1812" max="1812" width="9" style="112" customWidth="1"/>
    <col min="1813" max="1813" width="12" style="112" customWidth="1"/>
    <col min="1814" max="1815" width="9" style="112" customWidth="1"/>
    <col min="1816" max="1816" width="9.85546875" style="112" customWidth="1"/>
    <col min="1817" max="1817" width="10.140625" style="112" customWidth="1"/>
    <col min="1818" max="1818" width="7.85546875" style="112" customWidth="1"/>
    <col min="1819" max="1819" width="8.5703125" style="112" customWidth="1"/>
    <col min="1820" max="1820" width="7.85546875" style="112" customWidth="1"/>
    <col min="1821" max="1821" width="8.7109375" style="112" customWidth="1"/>
    <col min="1822" max="2054" width="9.140625" style="112"/>
    <col min="2055" max="2055" width="5.42578125" style="112" customWidth="1"/>
    <col min="2056" max="2056" width="45.140625" style="112" customWidth="1"/>
    <col min="2057" max="2058" width="12" style="112" customWidth="1"/>
    <col min="2059" max="2059" width="16.140625" style="112" customWidth="1"/>
    <col min="2060" max="2060" width="7.7109375" style="112" customWidth="1"/>
    <col min="2061" max="2061" width="12" style="112" customWidth="1"/>
    <col min="2062" max="2063" width="9" style="112" customWidth="1"/>
    <col min="2064" max="2064" width="11.28515625" style="112" customWidth="1"/>
    <col min="2065" max="2066" width="12" style="112" customWidth="1"/>
    <col min="2067" max="2067" width="17.140625" style="112" customWidth="1"/>
    <col min="2068" max="2068" width="9" style="112" customWidth="1"/>
    <col min="2069" max="2069" width="12" style="112" customWidth="1"/>
    <col min="2070" max="2071" width="9" style="112" customWidth="1"/>
    <col min="2072" max="2072" width="9.85546875" style="112" customWidth="1"/>
    <col min="2073" max="2073" width="10.140625" style="112" customWidth="1"/>
    <col min="2074" max="2074" width="7.85546875" style="112" customWidth="1"/>
    <col min="2075" max="2075" width="8.5703125" style="112" customWidth="1"/>
    <col min="2076" max="2076" width="7.85546875" style="112" customWidth="1"/>
    <col min="2077" max="2077" width="8.7109375" style="112" customWidth="1"/>
    <col min="2078" max="2310" width="9.140625" style="112"/>
    <col min="2311" max="2311" width="5.42578125" style="112" customWidth="1"/>
    <col min="2312" max="2312" width="45.140625" style="112" customWidth="1"/>
    <col min="2313" max="2314" width="12" style="112" customWidth="1"/>
    <col min="2315" max="2315" width="16.140625" style="112" customWidth="1"/>
    <col min="2316" max="2316" width="7.7109375" style="112" customWidth="1"/>
    <col min="2317" max="2317" width="12" style="112" customWidth="1"/>
    <col min="2318" max="2319" width="9" style="112" customWidth="1"/>
    <col min="2320" max="2320" width="11.28515625" style="112" customWidth="1"/>
    <col min="2321" max="2322" width="12" style="112" customWidth="1"/>
    <col min="2323" max="2323" width="17.140625" style="112" customWidth="1"/>
    <col min="2324" max="2324" width="9" style="112" customWidth="1"/>
    <col min="2325" max="2325" width="12" style="112" customWidth="1"/>
    <col min="2326" max="2327" width="9" style="112" customWidth="1"/>
    <col min="2328" max="2328" width="9.85546875" style="112" customWidth="1"/>
    <col min="2329" max="2329" width="10.140625" style="112" customWidth="1"/>
    <col min="2330" max="2330" width="7.85546875" style="112" customWidth="1"/>
    <col min="2331" max="2331" width="8.5703125" style="112" customWidth="1"/>
    <col min="2332" max="2332" width="7.85546875" style="112" customWidth="1"/>
    <col min="2333" max="2333" width="8.7109375" style="112" customWidth="1"/>
    <col min="2334" max="2566" width="9.140625" style="112"/>
    <col min="2567" max="2567" width="5.42578125" style="112" customWidth="1"/>
    <col min="2568" max="2568" width="45.140625" style="112" customWidth="1"/>
    <col min="2569" max="2570" width="12" style="112" customWidth="1"/>
    <col min="2571" max="2571" width="16.140625" style="112" customWidth="1"/>
    <col min="2572" max="2572" width="7.7109375" style="112" customWidth="1"/>
    <col min="2573" max="2573" width="12" style="112" customWidth="1"/>
    <col min="2574" max="2575" width="9" style="112" customWidth="1"/>
    <col min="2576" max="2576" width="11.28515625" style="112" customWidth="1"/>
    <col min="2577" max="2578" width="12" style="112" customWidth="1"/>
    <col min="2579" max="2579" width="17.140625" style="112" customWidth="1"/>
    <col min="2580" max="2580" width="9" style="112" customWidth="1"/>
    <col min="2581" max="2581" width="12" style="112" customWidth="1"/>
    <col min="2582" max="2583" width="9" style="112" customWidth="1"/>
    <col min="2584" max="2584" width="9.85546875" style="112" customWidth="1"/>
    <col min="2585" max="2585" width="10.140625" style="112" customWidth="1"/>
    <col min="2586" max="2586" width="7.85546875" style="112" customWidth="1"/>
    <col min="2587" max="2587" width="8.5703125" style="112" customWidth="1"/>
    <col min="2588" max="2588" width="7.85546875" style="112" customWidth="1"/>
    <col min="2589" max="2589" width="8.7109375" style="112" customWidth="1"/>
    <col min="2590" max="2822" width="9.140625" style="112"/>
    <col min="2823" max="2823" width="5.42578125" style="112" customWidth="1"/>
    <col min="2824" max="2824" width="45.140625" style="112" customWidth="1"/>
    <col min="2825" max="2826" width="12" style="112" customWidth="1"/>
    <col min="2827" max="2827" width="16.140625" style="112" customWidth="1"/>
    <col min="2828" max="2828" width="7.7109375" style="112" customWidth="1"/>
    <col min="2829" max="2829" width="12" style="112" customWidth="1"/>
    <col min="2830" max="2831" width="9" style="112" customWidth="1"/>
    <col min="2832" max="2832" width="11.28515625" style="112" customWidth="1"/>
    <col min="2833" max="2834" width="12" style="112" customWidth="1"/>
    <col min="2835" max="2835" width="17.140625" style="112" customWidth="1"/>
    <col min="2836" max="2836" width="9" style="112" customWidth="1"/>
    <col min="2837" max="2837" width="12" style="112" customWidth="1"/>
    <col min="2838" max="2839" width="9" style="112" customWidth="1"/>
    <col min="2840" max="2840" width="9.85546875" style="112" customWidth="1"/>
    <col min="2841" max="2841" width="10.140625" style="112" customWidth="1"/>
    <col min="2842" max="2842" width="7.85546875" style="112" customWidth="1"/>
    <col min="2843" max="2843" width="8.5703125" style="112" customWidth="1"/>
    <col min="2844" max="2844" width="7.85546875" style="112" customWidth="1"/>
    <col min="2845" max="2845" width="8.7109375" style="112" customWidth="1"/>
    <col min="2846" max="3078" width="9.140625" style="112"/>
    <col min="3079" max="3079" width="5.42578125" style="112" customWidth="1"/>
    <col min="3080" max="3080" width="45.140625" style="112" customWidth="1"/>
    <col min="3081" max="3082" width="12" style="112" customWidth="1"/>
    <col min="3083" max="3083" width="16.140625" style="112" customWidth="1"/>
    <col min="3084" max="3084" width="7.7109375" style="112" customWidth="1"/>
    <col min="3085" max="3085" width="12" style="112" customWidth="1"/>
    <col min="3086" max="3087" width="9" style="112" customWidth="1"/>
    <col min="3088" max="3088" width="11.28515625" style="112" customWidth="1"/>
    <col min="3089" max="3090" width="12" style="112" customWidth="1"/>
    <col min="3091" max="3091" width="17.140625" style="112" customWidth="1"/>
    <col min="3092" max="3092" width="9" style="112" customWidth="1"/>
    <col min="3093" max="3093" width="12" style="112" customWidth="1"/>
    <col min="3094" max="3095" width="9" style="112" customWidth="1"/>
    <col min="3096" max="3096" width="9.85546875" style="112" customWidth="1"/>
    <col min="3097" max="3097" width="10.140625" style="112" customWidth="1"/>
    <col min="3098" max="3098" width="7.85546875" style="112" customWidth="1"/>
    <col min="3099" max="3099" width="8.5703125" style="112" customWidth="1"/>
    <col min="3100" max="3100" width="7.85546875" style="112" customWidth="1"/>
    <col min="3101" max="3101" width="8.7109375" style="112" customWidth="1"/>
    <col min="3102" max="3334" width="9.140625" style="112"/>
    <col min="3335" max="3335" width="5.42578125" style="112" customWidth="1"/>
    <col min="3336" max="3336" width="45.140625" style="112" customWidth="1"/>
    <col min="3337" max="3338" width="12" style="112" customWidth="1"/>
    <col min="3339" max="3339" width="16.140625" style="112" customWidth="1"/>
    <col min="3340" max="3340" width="7.7109375" style="112" customWidth="1"/>
    <col min="3341" max="3341" width="12" style="112" customWidth="1"/>
    <col min="3342" max="3343" width="9" style="112" customWidth="1"/>
    <col min="3344" max="3344" width="11.28515625" style="112" customWidth="1"/>
    <col min="3345" max="3346" width="12" style="112" customWidth="1"/>
    <col min="3347" max="3347" width="17.140625" style="112" customWidth="1"/>
    <col min="3348" max="3348" width="9" style="112" customWidth="1"/>
    <col min="3349" max="3349" width="12" style="112" customWidth="1"/>
    <col min="3350" max="3351" width="9" style="112" customWidth="1"/>
    <col min="3352" max="3352" width="9.85546875" style="112" customWidth="1"/>
    <col min="3353" max="3353" width="10.140625" style="112" customWidth="1"/>
    <col min="3354" max="3354" width="7.85546875" style="112" customWidth="1"/>
    <col min="3355" max="3355" width="8.5703125" style="112" customWidth="1"/>
    <col min="3356" max="3356" width="7.85546875" style="112" customWidth="1"/>
    <col min="3357" max="3357" width="8.7109375" style="112" customWidth="1"/>
    <col min="3358" max="3590" width="9.140625" style="112"/>
    <col min="3591" max="3591" width="5.42578125" style="112" customWidth="1"/>
    <col min="3592" max="3592" width="45.140625" style="112" customWidth="1"/>
    <col min="3593" max="3594" width="12" style="112" customWidth="1"/>
    <col min="3595" max="3595" width="16.140625" style="112" customWidth="1"/>
    <col min="3596" max="3596" width="7.7109375" style="112" customWidth="1"/>
    <col min="3597" max="3597" width="12" style="112" customWidth="1"/>
    <col min="3598" max="3599" width="9" style="112" customWidth="1"/>
    <col min="3600" max="3600" width="11.28515625" style="112" customWidth="1"/>
    <col min="3601" max="3602" width="12" style="112" customWidth="1"/>
    <col min="3603" max="3603" width="17.140625" style="112" customWidth="1"/>
    <col min="3604" max="3604" width="9" style="112" customWidth="1"/>
    <col min="3605" max="3605" width="12" style="112" customWidth="1"/>
    <col min="3606" max="3607" width="9" style="112" customWidth="1"/>
    <col min="3608" max="3608" width="9.85546875" style="112" customWidth="1"/>
    <col min="3609" max="3609" width="10.140625" style="112" customWidth="1"/>
    <col min="3610" max="3610" width="7.85546875" style="112" customWidth="1"/>
    <col min="3611" max="3611" width="8.5703125" style="112" customWidth="1"/>
    <col min="3612" max="3612" width="7.85546875" style="112" customWidth="1"/>
    <col min="3613" max="3613" width="8.7109375" style="112" customWidth="1"/>
    <col min="3614" max="3846" width="9.140625" style="112"/>
    <col min="3847" max="3847" width="5.42578125" style="112" customWidth="1"/>
    <col min="3848" max="3848" width="45.140625" style="112" customWidth="1"/>
    <col min="3849" max="3850" width="12" style="112" customWidth="1"/>
    <col min="3851" max="3851" width="16.140625" style="112" customWidth="1"/>
    <col min="3852" max="3852" width="7.7109375" style="112" customWidth="1"/>
    <col min="3853" max="3853" width="12" style="112" customWidth="1"/>
    <col min="3854" max="3855" width="9" style="112" customWidth="1"/>
    <col min="3856" max="3856" width="11.28515625" style="112" customWidth="1"/>
    <col min="3857" max="3858" width="12" style="112" customWidth="1"/>
    <col min="3859" max="3859" width="17.140625" style="112" customWidth="1"/>
    <col min="3860" max="3860" width="9" style="112" customWidth="1"/>
    <col min="3861" max="3861" width="12" style="112" customWidth="1"/>
    <col min="3862" max="3863" width="9" style="112" customWidth="1"/>
    <col min="3864" max="3864" width="9.85546875" style="112" customWidth="1"/>
    <col min="3865" max="3865" width="10.140625" style="112" customWidth="1"/>
    <col min="3866" max="3866" width="7.85546875" style="112" customWidth="1"/>
    <col min="3867" max="3867" width="8.5703125" style="112" customWidth="1"/>
    <col min="3868" max="3868" width="7.85546875" style="112" customWidth="1"/>
    <col min="3869" max="3869" width="8.7109375" style="112" customWidth="1"/>
    <col min="3870" max="4102" width="9.140625" style="112"/>
    <col min="4103" max="4103" width="5.42578125" style="112" customWidth="1"/>
    <col min="4104" max="4104" width="45.140625" style="112" customWidth="1"/>
    <col min="4105" max="4106" width="12" style="112" customWidth="1"/>
    <col min="4107" max="4107" width="16.140625" style="112" customWidth="1"/>
    <col min="4108" max="4108" width="7.7109375" style="112" customWidth="1"/>
    <col min="4109" max="4109" width="12" style="112" customWidth="1"/>
    <col min="4110" max="4111" width="9" style="112" customWidth="1"/>
    <col min="4112" max="4112" width="11.28515625" style="112" customWidth="1"/>
    <col min="4113" max="4114" width="12" style="112" customWidth="1"/>
    <col min="4115" max="4115" width="17.140625" style="112" customWidth="1"/>
    <col min="4116" max="4116" width="9" style="112" customWidth="1"/>
    <col min="4117" max="4117" width="12" style="112" customWidth="1"/>
    <col min="4118" max="4119" width="9" style="112" customWidth="1"/>
    <col min="4120" max="4120" width="9.85546875" style="112" customWidth="1"/>
    <col min="4121" max="4121" width="10.140625" style="112" customWidth="1"/>
    <col min="4122" max="4122" width="7.85546875" style="112" customWidth="1"/>
    <col min="4123" max="4123" width="8.5703125" style="112" customWidth="1"/>
    <col min="4124" max="4124" width="7.85546875" style="112" customWidth="1"/>
    <col min="4125" max="4125" width="8.7109375" style="112" customWidth="1"/>
    <col min="4126" max="4358" width="9.140625" style="112"/>
    <col min="4359" max="4359" width="5.42578125" style="112" customWidth="1"/>
    <col min="4360" max="4360" width="45.140625" style="112" customWidth="1"/>
    <col min="4361" max="4362" width="12" style="112" customWidth="1"/>
    <col min="4363" max="4363" width="16.140625" style="112" customWidth="1"/>
    <col min="4364" max="4364" width="7.7109375" style="112" customWidth="1"/>
    <col min="4365" max="4365" width="12" style="112" customWidth="1"/>
    <col min="4366" max="4367" width="9" style="112" customWidth="1"/>
    <col min="4368" max="4368" width="11.28515625" style="112" customWidth="1"/>
    <col min="4369" max="4370" width="12" style="112" customWidth="1"/>
    <col min="4371" max="4371" width="17.140625" style="112" customWidth="1"/>
    <col min="4372" max="4372" width="9" style="112" customWidth="1"/>
    <col min="4373" max="4373" width="12" style="112" customWidth="1"/>
    <col min="4374" max="4375" width="9" style="112" customWidth="1"/>
    <col min="4376" max="4376" width="9.85546875" style="112" customWidth="1"/>
    <col min="4377" max="4377" width="10.140625" style="112" customWidth="1"/>
    <col min="4378" max="4378" width="7.85546875" style="112" customWidth="1"/>
    <col min="4379" max="4379" width="8.5703125" style="112" customWidth="1"/>
    <col min="4380" max="4380" width="7.85546875" style="112" customWidth="1"/>
    <col min="4381" max="4381" width="8.7109375" style="112" customWidth="1"/>
    <col min="4382" max="4614" width="9.140625" style="112"/>
    <col min="4615" max="4615" width="5.42578125" style="112" customWidth="1"/>
    <col min="4616" max="4616" width="45.140625" style="112" customWidth="1"/>
    <col min="4617" max="4618" width="12" style="112" customWidth="1"/>
    <col min="4619" max="4619" width="16.140625" style="112" customWidth="1"/>
    <col min="4620" max="4620" width="7.7109375" style="112" customWidth="1"/>
    <col min="4621" max="4621" width="12" style="112" customWidth="1"/>
    <col min="4622" max="4623" width="9" style="112" customWidth="1"/>
    <col min="4624" max="4624" width="11.28515625" style="112" customWidth="1"/>
    <col min="4625" max="4626" width="12" style="112" customWidth="1"/>
    <col min="4627" max="4627" width="17.140625" style="112" customWidth="1"/>
    <col min="4628" max="4628" width="9" style="112" customWidth="1"/>
    <col min="4629" max="4629" width="12" style="112" customWidth="1"/>
    <col min="4630" max="4631" width="9" style="112" customWidth="1"/>
    <col min="4632" max="4632" width="9.85546875" style="112" customWidth="1"/>
    <col min="4633" max="4633" width="10.140625" style="112" customWidth="1"/>
    <col min="4634" max="4634" width="7.85546875" style="112" customWidth="1"/>
    <col min="4635" max="4635" width="8.5703125" style="112" customWidth="1"/>
    <col min="4636" max="4636" width="7.85546875" style="112" customWidth="1"/>
    <col min="4637" max="4637" width="8.7109375" style="112" customWidth="1"/>
    <col min="4638" max="4870" width="9.140625" style="112"/>
    <col min="4871" max="4871" width="5.42578125" style="112" customWidth="1"/>
    <col min="4872" max="4872" width="45.140625" style="112" customWidth="1"/>
    <col min="4873" max="4874" width="12" style="112" customWidth="1"/>
    <col min="4875" max="4875" width="16.140625" style="112" customWidth="1"/>
    <col min="4876" max="4876" width="7.7109375" style="112" customWidth="1"/>
    <col min="4877" max="4877" width="12" style="112" customWidth="1"/>
    <col min="4878" max="4879" width="9" style="112" customWidth="1"/>
    <col min="4880" max="4880" width="11.28515625" style="112" customWidth="1"/>
    <col min="4881" max="4882" width="12" style="112" customWidth="1"/>
    <col min="4883" max="4883" width="17.140625" style="112" customWidth="1"/>
    <col min="4884" max="4884" width="9" style="112" customWidth="1"/>
    <col min="4885" max="4885" width="12" style="112" customWidth="1"/>
    <col min="4886" max="4887" width="9" style="112" customWidth="1"/>
    <col min="4888" max="4888" width="9.85546875" style="112" customWidth="1"/>
    <col min="4889" max="4889" width="10.140625" style="112" customWidth="1"/>
    <col min="4890" max="4890" width="7.85546875" style="112" customWidth="1"/>
    <col min="4891" max="4891" width="8.5703125" style="112" customWidth="1"/>
    <col min="4892" max="4892" width="7.85546875" style="112" customWidth="1"/>
    <col min="4893" max="4893" width="8.7109375" style="112" customWidth="1"/>
    <col min="4894" max="5126" width="9.140625" style="112"/>
    <col min="5127" max="5127" width="5.42578125" style="112" customWidth="1"/>
    <col min="5128" max="5128" width="45.140625" style="112" customWidth="1"/>
    <col min="5129" max="5130" width="12" style="112" customWidth="1"/>
    <col min="5131" max="5131" width="16.140625" style="112" customWidth="1"/>
    <col min="5132" max="5132" width="7.7109375" style="112" customWidth="1"/>
    <col min="5133" max="5133" width="12" style="112" customWidth="1"/>
    <col min="5134" max="5135" width="9" style="112" customWidth="1"/>
    <col min="5136" max="5136" width="11.28515625" style="112" customWidth="1"/>
    <col min="5137" max="5138" width="12" style="112" customWidth="1"/>
    <col min="5139" max="5139" width="17.140625" style="112" customWidth="1"/>
    <col min="5140" max="5140" width="9" style="112" customWidth="1"/>
    <col min="5141" max="5141" width="12" style="112" customWidth="1"/>
    <col min="5142" max="5143" width="9" style="112" customWidth="1"/>
    <col min="5144" max="5144" width="9.85546875" style="112" customWidth="1"/>
    <col min="5145" max="5145" width="10.140625" style="112" customWidth="1"/>
    <col min="5146" max="5146" width="7.85546875" style="112" customWidth="1"/>
    <col min="5147" max="5147" width="8.5703125" style="112" customWidth="1"/>
    <col min="5148" max="5148" width="7.85546875" style="112" customWidth="1"/>
    <col min="5149" max="5149" width="8.7109375" style="112" customWidth="1"/>
    <col min="5150" max="5382" width="9.140625" style="112"/>
    <col min="5383" max="5383" width="5.42578125" style="112" customWidth="1"/>
    <col min="5384" max="5384" width="45.140625" style="112" customWidth="1"/>
    <col min="5385" max="5386" width="12" style="112" customWidth="1"/>
    <col min="5387" max="5387" width="16.140625" style="112" customWidth="1"/>
    <col min="5388" max="5388" width="7.7109375" style="112" customWidth="1"/>
    <col min="5389" max="5389" width="12" style="112" customWidth="1"/>
    <col min="5390" max="5391" width="9" style="112" customWidth="1"/>
    <col min="5392" max="5392" width="11.28515625" style="112" customWidth="1"/>
    <col min="5393" max="5394" width="12" style="112" customWidth="1"/>
    <col min="5395" max="5395" width="17.140625" style="112" customWidth="1"/>
    <col min="5396" max="5396" width="9" style="112" customWidth="1"/>
    <col min="5397" max="5397" width="12" style="112" customWidth="1"/>
    <col min="5398" max="5399" width="9" style="112" customWidth="1"/>
    <col min="5400" max="5400" width="9.85546875" style="112" customWidth="1"/>
    <col min="5401" max="5401" width="10.140625" style="112" customWidth="1"/>
    <col min="5402" max="5402" width="7.85546875" style="112" customWidth="1"/>
    <col min="5403" max="5403" width="8.5703125" style="112" customWidth="1"/>
    <col min="5404" max="5404" width="7.85546875" style="112" customWidth="1"/>
    <col min="5405" max="5405" width="8.7109375" style="112" customWidth="1"/>
    <col min="5406" max="5638" width="9.140625" style="112"/>
    <col min="5639" max="5639" width="5.42578125" style="112" customWidth="1"/>
    <col min="5640" max="5640" width="45.140625" style="112" customWidth="1"/>
    <col min="5641" max="5642" width="12" style="112" customWidth="1"/>
    <col min="5643" max="5643" width="16.140625" style="112" customWidth="1"/>
    <col min="5644" max="5644" width="7.7109375" style="112" customWidth="1"/>
    <col min="5645" max="5645" width="12" style="112" customWidth="1"/>
    <col min="5646" max="5647" width="9" style="112" customWidth="1"/>
    <col min="5648" max="5648" width="11.28515625" style="112" customWidth="1"/>
    <col min="5649" max="5650" width="12" style="112" customWidth="1"/>
    <col min="5651" max="5651" width="17.140625" style="112" customWidth="1"/>
    <col min="5652" max="5652" width="9" style="112" customWidth="1"/>
    <col min="5653" max="5653" width="12" style="112" customWidth="1"/>
    <col min="5654" max="5655" width="9" style="112" customWidth="1"/>
    <col min="5656" max="5656" width="9.85546875" style="112" customWidth="1"/>
    <col min="5657" max="5657" width="10.140625" style="112" customWidth="1"/>
    <col min="5658" max="5658" width="7.85546875" style="112" customWidth="1"/>
    <col min="5659" max="5659" width="8.5703125" style="112" customWidth="1"/>
    <col min="5660" max="5660" width="7.85546875" style="112" customWidth="1"/>
    <col min="5661" max="5661" width="8.7109375" style="112" customWidth="1"/>
    <col min="5662" max="5894" width="9.140625" style="112"/>
    <col min="5895" max="5895" width="5.42578125" style="112" customWidth="1"/>
    <col min="5896" max="5896" width="45.140625" style="112" customWidth="1"/>
    <col min="5897" max="5898" width="12" style="112" customWidth="1"/>
    <col min="5899" max="5899" width="16.140625" style="112" customWidth="1"/>
    <col min="5900" max="5900" width="7.7109375" style="112" customWidth="1"/>
    <col min="5901" max="5901" width="12" style="112" customWidth="1"/>
    <col min="5902" max="5903" width="9" style="112" customWidth="1"/>
    <col min="5904" max="5904" width="11.28515625" style="112" customWidth="1"/>
    <col min="5905" max="5906" width="12" style="112" customWidth="1"/>
    <col min="5907" max="5907" width="17.140625" style="112" customWidth="1"/>
    <col min="5908" max="5908" width="9" style="112" customWidth="1"/>
    <col min="5909" max="5909" width="12" style="112" customWidth="1"/>
    <col min="5910" max="5911" width="9" style="112" customWidth="1"/>
    <col min="5912" max="5912" width="9.85546875" style="112" customWidth="1"/>
    <col min="5913" max="5913" width="10.140625" style="112" customWidth="1"/>
    <col min="5914" max="5914" width="7.85546875" style="112" customWidth="1"/>
    <col min="5915" max="5915" width="8.5703125" style="112" customWidth="1"/>
    <col min="5916" max="5916" width="7.85546875" style="112" customWidth="1"/>
    <col min="5917" max="5917" width="8.7109375" style="112" customWidth="1"/>
    <col min="5918" max="6150" width="9.140625" style="112"/>
    <col min="6151" max="6151" width="5.42578125" style="112" customWidth="1"/>
    <col min="6152" max="6152" width="45.140625" style="112" customWidth="1"/>
    <col min="6153" max="6154" width="12" style="112" customWidth="1"/>
    <col min="6155" max="6155" width="16.140625" style="112" customWidth="1"/>
    <col min="6156" max="6156" width="7.7109375" style="112" customWidth="1"/>
    <col min="6157" max="6157" width="12" style="112" customWidth="1"/>
    <col min="6158" max="6159" width="9" style="112" customWidth="1"/>
    <col min="6160" max="6160" width="11.28515625" style="112" customWidth="1"/>
    <col min="6161" max="6162" width="12" style="112" customWidth="1"/>
    <col min="6163" max="6163" width="17.140625" style="112" customWidth="1"/>
    <col min="6164" max="6164" width="9" style="112" customWidth="1"/>
    <col min="6165" max="6165" width="12" style="112" customWidth="1"/>
    <col min="6166" max="6167" width="9" style="112" customWidth="1"/>
    <col min="6168" max="6168" width="9.85546875" style="112" customWidth="1"/>
    <col min="6169" max="6169" width="10.140625" style="112" customWidth="1"/>
    <col min="6170" max="6170" width="7.85546875" style="112" customWidth="1"/>
    <col min="6171" max="6171" width="8.5703125" style="112" customWidth="1"/>
    <col min="6172" max="6172" width="7.85546875" style="112" customWidth="1"/>
    <col min="6173" max="6173" width="8.7109375" style="112" customWidth="1"/>
    <col min="6174" max="6406" width="9.140625" style="112"/>
    <col min="6407" max="6407" width="5.42578125" style="112" customWidth="1"/>
    <col min="6408" max="6408" width="45.140625" style="112" customWidth="1"/>
    <col min="6409" max="6410" width="12" style="112" customWidth="1"/>
    <col min="6411" max="6411" width="16.140625" style="112" customWidth="1"/>
    <col min="6412" max="6412" width="7.7109375" style="112" customWidth="1"/>
    <col min="6413" max="6413" width="12" style="112" customWidth="1"/>
    <col min="6414" max="6415" width="9" style="112" customWidth="1"/>
    <col min="6416" max="6416" width="11.28515625" style="112" customWidth="1"/>
    <col min="6417" max="6418" width="12" style="112" customWidth="1"/>
    <col min="6419" max="6419" width="17.140625" style="112" customWidth="1"/>
    <col min="6420" max="6420" width="9" style="112" customWidth="1"/>
    <col min="6421" max="6421" width="12" style="112" customWidth="1"/>
    <col min="6422" max="6423" width="9" style="112" customWidth="1"/>
    <col min="6424" max="6424" width="9.85546875" style="112" customWidth="1"/>
    <col min="6425" max="6425" width="10.140625" style="112" customWidth="1"/>
    <col min="6426" max="6426" width="7.85546875" style="112" customWidth="1"/>
    <col min="6427" max="6427" width="8.5703125" style="112" customWidth="1"/>
    <col min="6428" max="6428" width="7.85546875" style="112" customWidth="1"/>
    <col min="6429" max="6429" width="8.7109375" style="112" customWidth="1"/>
    <col min="6430" max="6662" width="9.140625" style="112"/>
    <col min="6663" max="6663" width="5.42578125" style="112" customWidth="1"/>
    <col min="6664" max="6664" width="45.140625" style="112" customWidth="1"/>
    <col min="6665" max="6666" width="12" style="112" customWidth="1"/>
    <col min="6667" max="6667" width="16.140625" style="112" customWidth="1"/>
    <col min="6668" max="6668" width="7.7109375" style="112" customWidth="1"/>
    <col min="6669" max="6669" width="12" style="112" customWidth="1"/>
    <col min="6670" max="6671" width="9" style="112" customWidth="1"/>
    <col min="6672" max="6672" width="11.28515625" style="112" customWidth="1"/>
    <col min="6673" max="6674" width="12" style="112" customWidth="1"/>
    <col min="6675" max="6675" width="17.140625" style="112" customWidth="1"/>
    <col min="6676" max="6676" width="9" style="112" customWidth="1"/>
    <col min="6677" max="6677" width="12" style="112" customWidth="1"/>
    <col min="6678" max="6679" width="9" style="112" customWidth="1"/>
    <col min="6680" max="6680" width="9.85546875" style="112" customWidth="1"/>
    <col min="6681" max="6681" width="10.140625" style="112" customWidth="1"/>
    <col min="6682" max="6682" width="7.85546875" style="112" customWidth="1"/>
    <col min="6683" max="6683" width="8.5703125" style="112" customWidth="1"/>
    <col min="6684" max="6684" width="7.85546875" style="112" customWidth="1"/>
    <col min="6685" max="6685" width="8.7109375" style="112" customWidth="1"/>
    <col min="6686" max="6918" width="9.140625" style="112"/>
    <col min="6919" max="6919" width="5.42578125" style="112" customWidth="1"/>
    <col min="6920" max="6920" width="45.140625" style="112" customWidth="1"/>
    <col min="6921" max="6922" width="12" style="112" customWidth="1"/>
    <col min="6923" max="6923" width="16.140625" style="112" customWidth="1"/>
    <col min="6924" max="6924" width="7.7109375" style="112" customWidth="1"/>
    <col min="6925" max="6925" width="12" style="112" customWidth="1"/>
    <col min="6926" max="6927" width="9" style="112" customWidth="1"/>
    <col min="6928" max="6928" width="11.28515625" style="112" customWidth="1"/>
    <col min="6929" max="6930" width="12" style="112" customWidth="1"/>
    <col min="6931" max="6931" width="17.140625" style="112" customWidth="1"/>
    <col min="6932" max="6932" width="9" style="112" customWidth="1"/>
    <col min="6933" max="6933" width="12" style="112" customWidth="1"/>
    <col min="6934" max="6935" width="9" style="112" customWidth="1"/>
    <col min="6936" max="6936" width="9.85546875" style="112" customWidth="1"/>
    <col min="6937" max="6937" width="10.140625" style="112" customWidth="1"/>
    <col min="6938" max="6938" width="7.85546875" style="112" customWidth="1"/>
    <col min="6939" max="6939" width="8.5703125" style="112" customWidth="1"/>
    <col min="6940" max="6940" width="7.85546875" style="112" customWidth="1"/>
    <col min="6941" max="6941" width="8.7109375" style="112" customWidth="1"/>
    <col min="6942" max="7174" width="9.140625" style="112"/>
    <col min="7175" max="7175" width="5.42578125" style="112" customWidth="1"/>
    <col min="7176" max="7176" width="45.140625" style="112" customWidth="1"/>
    <col min="7177" max="7178" width="12" style="112" customWidth="1"/>
    <col min="7179" max="7179" width="16.140625" style="112" customWidth="1"/>
    <col min="7180" max="7180" width="7.7109375" style="112" customWidth="1"/>
    <col min="7181" max="7181" width="12" style="112" customWidth="1"/>
    <col min="7182" max="7183" width="9" style="112" customWidth="1"/>
    <col min="7184" max="7184" width="11.28515625" style="112" customWidth="1"/>
    <col min="7185" max="7186" width="12" style="112" customWidth="1"/>
    <col min="7187" max="7187" width="17.140625" style="112" customWidth="1"/>
    <col min="7188" max="7188" width="9" style="112" customWidth="1"/>
    <col min="7189" max="7189" width="12" style="112" customWidth="1"/>
    <col min="7190" max="7191" width="9" style="112" customWidth="1"/>
    <col min="7192" max="7192" width="9.85546875" style="112" customWidth="1"/>
    <col min="7193" max="7193" width="10.140625" style="112" customWidth="1"/>
    <col min="7194" max="7194" width="7.85546875" style="112" customWidth="1"/>
    <col min="7195" max="7195" width="8.5703125" style="112" customWidth="1"/>
    <col min="7196" max="7196" width="7.85546875" style="112" customWidth="1"/>
    <col min="7197" max="7197" width="8.7109375" style="112" customWidth="1"/>
    <col min="7198" max="7430" width="9.140625" style="112"/>
    <col min="7431" max="7431" width="5.42578125" style="112" customWidth="1"/>
    <col min="7432" max="7432" width="45.140625" style="112" customWidth="1"/>
    <col min="7433" max="7434" width="12" style="112" customWidth="1"/>
    <col min="7435" max="7435" width="16.140625" style="112" customWidth="1"/>
    <col min="7436" max="7436" width="7.7109375" style="112" customWidth="1"/>
    <col min="7437" max="7437" width="12" style="112" customWidth="1"/>
    <col min="7438" max="7439" width="9" style="112" customWidth="1"/>
    <col min="7440" max="7440" width="11.28515625" style="112" customWidth="1"/>
    <col min="7441" max="7442" width="12" style="112" customWidth="1"/>
    <col min="7443" max="7443" width="17.140625" style="112" customWidth="1"/>
    <col min="7444" max="7444" width="9" style="112" customWidth="1"/>
    <col min="7445" max="7445" width="12" style="112" customWidth="1"/>
    <col min="7446" max="7447" width="9" style="112" customWidth="1"/>
    <col min="7448" max="7448" width="9.85546875" style="112" customWidth="1"/>
    <col min="7449" max="7449" width="10.140625" style="112" customWidth="1"/>
    <col min="7450" max="7450" width="7.85546875" style="112" customWidth="1"/>
    <col min="7451" max="7451" width="8.5703125" style="112" customWidth="1"/>
    <col min="7452" max="7452" width="7.85546875" style="112" customWidth="1"/>
    <col min="7453" max="7453" width="8.7109375" style="112" customWidth="1"/>
    <col min="7454" max="7686" width="9.140625" style="112"/>
    <col min="7687" max="7687" width="5.42578125" style="112" customWidth="1"/>
    <col min="7688" max="7688" width="45.140625" style="112" customWidth="1"/>
    <col min="7689" max="7690" width="12" style="112" customWidth="1"/>
    <col min="7691" max="7691" width="16.140625" style="112" customWidth="1"/>
    <col min="7692" max="7692" width="7.7109375" style="112" customWidth="1"/>
    <col min="7693" max="7693" width="12" style="112" customWidth="1"/>
    <col min="7694" max="7695" width="9" style="112" customWidth="1"/>
    <col min="7696" max="7696" width="11.28515625" style="112" customWidth="1"/>
    <col min="7697" max="7698" width="12" style="112" customWidth="1"/>
    <col min="7699" max="7699" width="17.140625" style="112" customWidth="1"/>
    <col min="7700" max="7700" width="9" style="112" customWidth="1"/>
    <col min="7701" max="7701" width="12" style="112" customWidth="1"/>
    <col min="7702" max="7703" width="9" style="112" customWidth="1"/>
    <col min="7704" max="7704" width="9.85546875" style="112" customWidth="1"/>
    <col min="7705" max="7705" width="10.140625" style="112" customWidth="1"/>
    <col min="7706" max="7706" width="7.85546875" style="112" customWidth="1"/>
    <col min="7707" max="7707" width="8.5703125" style="112" customWidth="1"/>
    <col min="7708" max="7708" width="7.85546875" style="112" customWidth="1"/>
    <col min="7709" max="7709" width="8.7109375" style="112" customWidth="1"/>
    <col min="7710" max="7942" width="9.140625" style="112"/>
    <col min="7943" max="7943" width="5.42578125" style="112" customWidth="1"/>
    <col min="7944" max="7944" width="45.140625" style="112" customWidth="1"/>
    <col min="7945" max="7946" width="12" style="112" customWidth="1"/>
    <col min="7947" max="7947" width="16.140625" style="112" customWidth="1"/>
    <col min="7948" max="7948" width="7.7109375" style="112" customWidth="1"/>
    <col min="7949" max="7949" width="12" style="112" customWidth="1"/>
    <col min="7950" max="7951" width="9" style="112" customWidth="1"/>
    <col min="7952" max="7952" width="11.28515625" style="112" customWidth="1"/>
    <col min="7953" max="7954" width="12" style="112" customWidth="1"/>
    <col min="7955" max="7955" width="17.140625" style="112" customWidth="1"/>
    <col min="7956" max="7956" width="9" style="112" customWidth="1"/>
    <col min="7957" max="7957" width="12" style="112" customWidth="1"/>
    <col min="7958" max="7959" width="9" style="112" customWidth="1"/>
    <col min="7960" max="7960" width="9.85546875" style="112" customWidth="1"/>
    <col min="7961" max="7961" width="10.140625" style="112" customWidth="1"/>
    <col min="7962" max="7962" width="7.85546875" style="112" customWidth="1"/>
    <col min="7963" max="7963" width="8.5703125" style="112" customWidth="1"/>
    <col min="7964" max="7964" width="7.85546875" style="112" customWidth="1"/>
    <col min="7965" max="7965" width="8.7109375" style="112" customWidth="1"/>
    <col min="7966" max="8198" width="9.140625" style="112"/>
    <col min="8199" max="8199" width="5.42578125" style="112" customWidth="1"/>
    <col min="8200" max="8200" width="45.140625" style="112" customWidth="1"/>
    <col min="8201" max="8202" width="12" style="112" customWidth="1"/>
    <col min="8203" max="8203" width="16.140625" style="112" customWidth="1"/>
    <col min="8204" max="8204" width="7.7109375" style="112" customWidth="1"/>
    <col min="8205" max="8205" width="12" style="112" customWidth="1"/>
    <col min="8206" max="8207" width="9" style="112" customWidth="1"/>
    <col min="8208" max="8208" width="11.28515625" style="112" customWidth="1"/>
    <col min="8209" max="8210" width="12" style="112" customWidth="1"/>
    <col min="8211" max="8211" width="17.140625" style="112" customWidth="1"/>
    <col min="8212" max="8212" width="9" style="112" customWidth="1"/>
    <col min="8213" max="8213" width="12" style="112" customWidth="1"/>
    <col min="8214" max="8215" width="9" style="112" customWidth="1"/>
    <col min="8216" max="8216" width="9.85546875" style="112" customWidth="1"/>
    <col min="8217" max="8217" width="10.140625" style="112" customWidth="1"/>
    <col min="8218" max="8218" width="7.85546875" style="112" customWidth="1"/>
    <col min="8219" max="8219" width="8.5703125" style="112" customWidth="1"/>
    <col min="8220" max="8220" width="7.85546875" style="112" customWidth="1"/>
    <col min="8221" max="8221" width="8.7109375" style="112" customWidth="1"/>
    <col min="8222" max="8454" width="9.140625" style="112"/>
    <col min="8455" max="8455" width="5.42578125" style="112" customWidth="1"/>
    <col min="8456" max="8456" width="45.140625" style="112" customWidth="1"/>
    <col min="8457" max="8458" width="12" style="112" customWidth="1"/>
    <col min="8459" max="8459" width="16.140625" style="112" customWidth="1"/>
    <col min="8460" max="8460" width="7.7109375" style="112" customWidth="1"/>
    <col min="8461" max="8461" width="12" style="112" customWidth="1"/>
    <col min="8462" max="8463" width="9" style="112" customWidth="1"/>
    <col min="8464" max="8464" width="11.28515625" style="112" customWidth="1"/>
    <col min="8465" max="8466" width="12" style="112" customWidth="1"/>
    <col min="8467" max="8467" width="17.140625" style="112" customWidth="1"/>
    <col min="8468" max="8468" width="9" style="112" customWidth="1"/>
    <col min="8469" max="8469" width="12" style="112" customWidth="1"/>
    <col min="8470" max="8471" width="9" style="112" customWidth="1"/>
    <col min="8472" max="8472" width="9.85546875" style="112" customWidth="1"/>
    <col min="8473" max="8473" width="10.140625" style="112" customWidth="1"/>
    <col min="8474" max="8474" width="7.85546875" style="112" customWidth="1"/>
    <col min="8475" max="8475" width="8.5703125" style="112" customWidth="1"/>
    <col min="8476" max="8476" width="7.85546875" style="112" customWidth="1"/>
    <col min="8477" max="8477" width="8.7109375" style="112" customWidth="1"/>
    <col min="8478" max="8710" width="9.140625" style="112"/>
    <col min="8711" max="8711" width="5.42578125" style="112" customWidth="1"/>
    <col min="8712" max="8712" width="45.140625" style="112" customWidth="1"/>
    <col min="8713" max="8714" width="12" style="112" customWidth="1"/>
    <col min="8715" max="8715" width="16.140625" style="112" customWidth="1"/>
    <col min="8716" max="8716" width="7.7109375" style="112" customWidth="1"/>
    <col min="8717" max="8717" width="12" style="112" customWidth="1"/>
    <col min="8718" max="8719" width="9" style="112" customWidth="1"/>
    <col min="8720" max="8720" width="11.28515625" style="112" customWidth="1"/>
    <col min="8721" max="8722" width="12" style="112" customWidth="1"/>
    <col min="8723" max="8723" width="17.140625" style="112" customWidth="1"/>
    <col min="8724" max="8724" width="9" style="112" customWidth="1"/>
    <col min="8725" max="8725" width="12" style="112" customWidth="1"/>
    <col min="8726" max="8727" width="9" style="112" customWidth="1"/>
    <col min="8728" max="8728" width="9.85546875" style="112" customWidth="1"/>
    <col min="8729" max="8729" width="10.140625" style="112" customWidth="1"/>
    <col min="8730" max="8730" width="7.85546875" style="112" customWidth="1"/>
    <col min="8731" max="8731" width="8.5703125" style="112" customWidth="1"/>
    <col min="8732" max="8732" width="7.85546875" style="112" customWidth="1"/>
    <col min="8733" max="8733" width="8.7109375" style="112" customWidth="1"/>
    <col min="8734" max="8966" width="9.140625" style="112"/>
    <col min="8967" max="8967" width="5.42578125" style="112" customWidth="1"/>
    <col min="8968" max="8968" width="45.140625" style="112" customWidth="1"/>
    <col min="8969" max="8970" width="12" style="112" customWidth="1"/>
    <col min="8971" max="8971" width="16.140625" style="112" customWidth="1"/>
    <col min="8972" max="8972" width="7.7109375" style="112" customWidth="1"/>
    <col min="8973" max="8973" width="12" style="112" customWidth="1"/>
    <col min="8974" max="8975" width="9" style="112" customWidth="1"/>
    <col min="8976" max="8976" width="11.28515625" style="112" customWidth="1"/>
    <col min="8977" max="8978" width="12" style="112" customWidth="1"/>
    <col min="8979" max="8979" width="17.140625" style="112" customWidth="1"/>
    <col min="8980" max="8980" width="9" style="112" customWidth="1"/>
    <col min="8981" max="8981" width="12" style="112" customWidth="1"/>
    <col min="8982" max="8983" width="9" style="112" customWidth="1"/>
    <col min="8984" max="8984" width="9.85546875" style="112" customWidth="1"/>
    <col min="8985" max="8985" width="10.140625" style="112" customWidth="1"/>
    <col min="8986" max="8986" width="7.85546875" style="112" customWidth="1"/>
    <col min="8987" max="8987" width="8.5703125" style="112" customWidth="1"/>
    <col min="8988" max="8988" width="7.85546875" style="112" customWidth="1"/>
    <col min="8989" max="8989" width="8.7109375" style="112" customWidth="1"/>
    <col min="8990" max="9222" width="9.140625" style="112"/>
    <col min="9223" max="9223" width="5.42578125" style="112" customWidth="1"/>
    <col min="9224" max="9224" width="45.140625" style="112" customWidth="1"/>
    <col min="9225" max="9226" width="12" style="112" customWidth="1"/>
    <col min="9227" max="9227" width="16.140625" style="112" customWidth="1"/>
    <col min="9228" max="9228" width="7.7109375" style="112" customWidth="1"/>
    <col min="9229" max="9229" width="12" style="112" customWidth="1"/>
    <col min="9230" max="9231" width="9" style="112" customWidth="1"/>
    <col min="9232" max="9232" width="11.28515625" style="112" customWidth="1"/>
    <col min="9233" max="9234" width="12" style="112" customWidth="1"/>
    <col min="9235" max="9235" width="17.140625" style="112" customWidth="1"/>
    <col min="9236" max="9236" width="9" style="112" customWidth="1"/>
    <col min="9237" max="9237" width="12" style="112" customWidth="1"/>
    <col min="9238" max="9239" width="9" style="112" customWidth="1"/>
    <col min="9240" max="9240" width="9.85546875" style="112" customWidth="1"/>
    <col min="9241" max="9241" width="10.140625" style="112" customWidth="1"/>
    <col min="9242" max="9242" width="7.85546875" style="112" customWidth="1"/>
    <col min="9243" max="9243" width="8.5703125" style="112" customWidth="1"/>
    <col min="9244" max="9244" width="7.85546875" style="112" customWidth="1"/>
    <col min="9245" max="9245" width="8.7109375" style="112" customWidth="1"/>
    <col min="9246" max="9478" width="9.140625" style="112"/>
    <col min="9479" max="9479" width="5.42578125" style="112" customWidth="1"/>
    <col min="9480" max="9480" width="45.140625" style="112" customWidth="1"/>
    <col min="9481" max="9482" width="12" style="112" customWidth="1"/>
    <col min="9483" max="9483" width="16.140625" style="112" customWidth="1"/>
    <col min="9484" max="9484" width="7.7109375" style="112" customWidth="1"/>
    <col min="9485" max="9485" width="12" style="112" customWidth="1"/>
    <col min="9486" max="9487" width="9" style="112" customWidth="1"/>
    <col min="9488" max="9488" width="11.28515625" style="112" customWidth="1"/>
    <col min="9489" max="9490" width="12" style="112" customWidth="1"/>
    <col min="9491" max="9491" width="17.140625" style="112" customWidth="1"/>
    <col min="9492" max="9492" width="9" style="112" customWidth="1"/>
    <col min="9493" max="9493" width="12" style="112" customWidth="1"/>
    <col min="9494" max="9495" width="9" style="112" customWidth="1"/>
    <col min="9496" max="9496" width="9.85546875" style="112" customWidth="1"/>
    <col min="9497" max="9497" width="10.140625" style="112" customWidth="1"/>
    <col min="9498" max="9498" width="7.85546875" style="112" customWidth="1"/>
    <col min="9499" max="9499" width="8.5703125" style="112" customWidth="1"/>
    <col min="9500" max="9500" width="7.85546875" style="112" customWidth="1"/>
    <col min="9501" max="9501" width="8.7109375" style="112" customWidth="1"/>
    <col min="9502" max="9734" width="9.140625" style="112"/>
    <col min="9735" max="9735" width="5.42578125" style="112" customWidth="1"/>
    <col min="9736" max="9736" width="45.140625" style="112" customWidth="1"/>
    <col min="9737" max="9738" width="12" style="112" customWidth="1"/>
    <col min="9739" max="9739" width="16.140625" style="112" customWidth="1"/>
    <col min="9740" max="9740" width="7.7109375" style="112" customWidth="1"/>
    <col min="9741" max="9741" width="12" style="112" customWidth="1"/>
    <col min="9742" max="9743" width="9" style="112" customWidth="1"/>
    <col min="9744" max="9744" width="11.28515625" style="112" customWidth="1"/>
    <col min="9745" max="9746" width="12" style="112" customWidth="1"/>
    <col min="9747" max="9747" width="17.140625" style="112" customWidth="1"/>
    <col min="9748" max="9748" width="9" style="112" customWidth="1"/>
    <col min="9749" max="9749" width="12" style="112" customWidth="1"/>
    <col min="9750" max="9751" width="9" style="112" customWidth="1"/>
    <col min="9752" max="9752" width="9.85546875" style="112" customWidth="1"/>
    <col min="9753" max="9753" width="10.140625" style="112" customWidth="1"/>
    <col min="9754" max="9754" width="7.85546875" style="112" customWidth="1"/>
    <col min="9755" max="9755" width="8.5703125" style="112" customWidth="1"/>
    <col min="9756" max="9756" width="7.85546875" style="112" customWidth="1"/>
    <col min="9757" max="9757" width="8.7109375" style="112" customWidth="1"/>
    <col min="9758" max="9990" width="9.140625" style="112"/>
    <col min="9991" max="9991" width="5.42578125" style="112" customWidth="1"/>
    <col min="9992" max="9992" width="45.140625" style="112" customWidth="1"/>
    <col min="9993" max="9994" width="12" style="112" customWidth="1"/>
    <col min="9995" max="9995" width="16.140625" style="112" customWidth="1"/>
    <col min="9996" max="9996" width="7.7109375" style="112" customWidth="1"/>
    <col min="9997" max="9997" width="12" style="112" customWidth="1"/>
    <col min="9998" max="9999" width="9" style="112" customWidth="1"/>
    <col min="10000" max="10000" width="11.28515625" style="112" customWidth="1"/>
    <col min="10001" max="10002" width="12" style="112" customWidth="1"/>
    <col min="10003" max="10003" width="17.140625" style="112" customWidth="1"/>
    <col min="10004" max="10004" width="9" style="112" customWidth="1"/>
    <col min="10005" max="10005" width="12" style="112" customWidth="1"/>
    <col min="10006" max="10007" width="9" style="112" customWidth="1"/>
    <col min="10008" max="10008" width="9.85546875" style="112" customWidth="1"/>
    <col min="10009" max="10009" width="10.140625" style="112" customWidth="1"/>
    <col min="10010" max="10010" width="7.85546875" style="112" customWidth="1"/>
    <col min="10011" max="10011" width="8.5703125" style="112" customWidth="1"/>
    <col min="10012" max="10012" width="7.85546875" style="112" customWidth="1"/>
    <col min="10013" max="10013" width="8.7109375" style="112" customWidth="1"/>
    <col min="10014" max="10246" width="9.140625" style="112"/>
    <col min="10247" max="10247" width="5.42578125" style="112" customWidth="1"/>
    <col min="10248" max="10248" width="45.140625" style="112" customWidth="1"/>
    <col min="10249" max="10250" width="12" style="112" customWidth="1"/>
    <col min="10251" max="10251" width="16.140625" style="112" customWidth="1"/>
    <col min="10252" max="10252" width="7.7109375" style="112" customWidth="1"/>
    <col min="10253" max="10253" width="12" style="112" customWidth="1"/>
    <col min="10254" max="10255" width="9" style="112" customWidth="1"/>
    <col min="10256" max="10256" width="11.28515625" style="112" customWidth="1"/>
    <col min="10257" max="10258" width="12" style="112" customWidth="1"/>
    <col min="10259" max="10259" width="17.140625" style="112" customWidth="1"/>
    <col min="10260" max="10260" width="9" style="112" customWidth="1"/>
    <col min="10261" max="10261" width="12" style="112" customWidth="1"/>
    <col min="10262" max="10263" width="9" style="112" customWidth="1"/>
    <col min="10264" max="10264" width="9.85546875" style="112" customWidth="1"/>
    <col min="10265" max="10265" width="10.140625" style="112" customWidth="1"/>
    <col min="10266" max="10266" width="7.85546875" style="112" customWidth="1"/>
    <col min="10267" max="10267" width="8.5703125" style="112" customWidth="1"/>
    <col min="10268" max="10268" width="7.85546875" style="112" customWidth="1"/>
    <col min="10269" max="10269" width="8.7109375" style="112" customWidth="1"/>
    <col min="10270" max="10502" width="9.140625" style="112"/>
    <col min="10503" max="10503" width="5.42578125" style="112" customWidth="1"/>
    <col min="10504" max="10504" width="45.140625" style="112" customWidth="1"/>
    <col min="10505" max="10506" width="12" style="112" customWidth="1"/>
    <col min="10507" max="10507" width="16.140625" style="112" customWidth="1"/>
    <col min="10508" max="10508" width="7.7109375" style="112" customWidth="1"/>
    <col min="10509" max="10509" width="12" style="112" customWidth="1"/>
    <col min="10510" max="10511" width="9" style="112" customWidth="1"/>
    <col min="10512" max="10512" width="11.28515625" style="112" customWidth="1"/>
    <col min="10513" max="10514" width="12" style="112" customWidth="1"/>
    <col min="10515" max="10515" width="17.140625" style="112" customWidth="1"/>
    <col min="10516" max="10516" width="9" style="112" customWidth="1"/>
    <col min="10517" max="10517" width="12" style="112" customWidth="1"/>
    <col min="10518" max="10519" width="9" style="112" customWidth="1"/>
    <col min="10520" max="10520" width="9.85546875" style="112" customWidth="1"/>
    <col min="10521" max="10521" width="10.140625" style="112" customWidth="1"/>
    <col min="10522" max="10522" width="7.85546875" style="112" customWidth="1"/>
    <col min="10523" max="10523" width="8.5703125" style="112" customWidth="1"/>
    <col min="10524" max="10524" width="7.85546875" style="112" customWidth="1"/>
    <col min="10525" max="10525" width="8.7109375" style="112" customWidth="1"/>
    <col min="10526" max="10758" width="9.140625" style="112"/>
    <col min="10759" max="10759" width="5.42578125" style="112" customWidth="1"/>
    <col min="10760" max="10760" width="45.140625" style="112" customWidth="1"/>
    <col min="10761" max="10762" width="12" style="112" customWidth="1"/>
    <col min="10763" max="10763" width="16.140625" style="112" customWidth="1"/>
    <col min="10764" max="10764" width="7.7109375" style="112" customWidth="1"/>
    <col min="10765" max="10765" width="12" style="112" customWidth="1"/>
    <col min="10766" max="10767" width="9" style="112" customWidth="1"/>
    <col min="10768" max="10768" width="11.28515625" style="112" customWidth="1"/>
    <col min="10769" max="10770" width="12" style="112" customWidth="1"/>
    <col min="10771" max="10771" width="17.140625" style="112" customWidth="1"/>
    <col min="10772" max="10772" width="9" style="112" customWidth="1"/>
    <col min="10773" max="10773" width="12" style="112" customWidth="1"/>
    <col min="10774" max="10775" width="9" style="112" customWidth="1"/>
    <col min="10776" max="10776" width="9.85546875" style="112" customWidth="1"/>
    <col min="10777" max="10777" width="10.140625" style="112" customWidth="1"/>
    <col min="10778" max="10778" width="7.85546875" style="112" customWidth="1"/>
    <col min="10779" max="10779" width="8.5703125" style="112" customWidth="1"/>
    <col min="10780" max="10780" width="7.85546875" style="112" customWidth="1"/>
    <col min="10781" max="10781" width="8.7109375" style="112" customWidth="1"/>
    <col min="10782" max="11014" width="9.140625" style="112"/>
    <col min="11015" max="11015" width="5.42578125" style="112" customWidth="1"/>
    <col min="11016" max="11016" width="45.140625" style="112" customWidth="1"/>
    <col min="11017" max="11018" width="12" style="112" customWidth="1"/>
    <col min="11019" max="11019" width="16.140625" style="112" customWidth="1"/>
    <col min="11020" max="11020" width="7.7109375" style="112" customWidth="1"/>
    <col min="11021" max="11021" width="12" style="112" customWidth="1"/>
    <col min="11022" max="11023" width="9" style="112" customWidth="1"/>
    <col min="11024" max="11024" width="11.28515625" style="112" customWidth="1"/>
    <col min="11025" max="11026" width="12" style="112" customWidth="1"/>
    <col min="11027" max="11027" width="17.140625" style="112" customWidth="1"/>
    <col min="11028" max="11028" width="9" style="112" customWidth="1"/>
    <col min="11029" max="11029" width="12" style="112" customWidth="1"/>
    <col min="11030" max="11031" width="9" style="112" customWidth="1"/>
    <col min="11032" max="11032" width="9.85546875" style="112" customWidth="1"/>
    <col min="11033" max="11033" width="10.140625" style="112" customWidth="1"/>
    <col min="11034" max="11034" width="7.85546875" style="112" customWidth="1"/>
    <col min="11035" max="11035" width="8.5703125" style="112" customWidth="1"/>
    <col min="11036" max="11036" width="7.85546875" style="112" customWidth="1"/>
    <col min="11037" max="11037" width="8.7109375" style="112" customWidth="1"/>
    <col min="11038" max="11270" width="9.140625" style="112"/>
    <col min="11271" max="11271" width="5.42578125" style="112" customWidth="1"/>
    <col min="11272" max="11272" width="45.140625" style="112" customWidth="1"/>
    <col min="11273" max="11274" width="12" style="112" customWidth="1"/>
    <col min="11275" max="11275" width="16.140625" style="112" customWidth="1"/>
    <col min="11276" max="11276" width="7.7109375" style="112" customWidth="1"/>
    <col min="11277" max="11277" width="12" style="112" customWidth="1"/>
    <col min="11278" max="11279" width="9" style="112" customWidth="1"/>
    <col min="11280" max="11280" width="11.28515625" style="112" customWidth="1"/>
    <col min="11281" max="11282" width="12" style="112" customWidth="1"/>
    <col min="11283" max="11283" width="17.140625" style="112" customWidth="1"/>
    <col min="11284" max="11284" width="9" style="112" customWidth="1"/>
    <col min="11285" max="11285" width="12" style="112" customWidth="1"/>
    <col min="11286" max="11287" width="9" style="112" customWidth="1"/>
    <col min="11288" max="11288" width="9.85546875" style="112" customWidth="1"/>
    <col min="11289" max="11289" width="10.140625" style="112" customWidth="1"/>
    <col min="11290" max="11290" width="7.85546875" style="112" customWidth="1"/>
    <col min="11291" max="11291" width="8.5703125" style="112" customWidth="1"/>
    <col min="11292" max="11292" width="7.85546875" style="112" customWidth="1"/>
    <col min="11293" max="11293" width="8.7109375" style="112" customWidth="1"/>
    <col min="11294" max="11526" width="9.140625" style="112"/>
    <col min="11527" max="11527" width="5.42578125" style="112" customWidth="1"/>
    <col min="11528" max="11528" width="45.140625" style="112" customWidth="1"/>
    <col min="11529" max="11530" width="12" style="112" customWidth="1"/>
    <col min="11531" max="11531" width="16.140625" style="112" customWidth="1"/>
    <col min="11532" max="11532" width="7.7109375" style="112" customWidth="1"/>
    <col min="11533" max="11533" width="12" style="112" customWidth="1"/>
    <col min="11534" max="11535" width="9" style="112" customWidth="1"/>
    <col min="11536" max="11536" width="11.28515625" style="112" customWidth="1"/>
    <col min="11537" max="11538" width="12" style="112" customWidth="1"/>
    <col min="11539" max="11539" width="17.140625" style="112" customWidth="1"/>
    <col min="11540" max="11540" width="9" style="112" customWidth="1"/>
    <col min="11541" max="11541" width="12" style="112" customWidth="1"/>
    <col min="11542" max="11543" width="9" style="112" customWidth="1"/>
    <col min="11544" max="11544" width="9.85546875" style="112" customWidth="1"/>
    <col min="11545" max="11545" width="10.140625" style="112" customWidth="1"/>
    <col min="11546" max="11546" width="7.85546875" style="112" customWidth="1"/>
    <col min="11547" max="11547" width="8.5703125" style="112" customWidth="1"/>
    <col min="11548" max="11548" width="7.85546875" style="112" customWidth="1"/>
    <col min="11549" max="11549" width="8.7109375" style="112" customWidth="1"/>
    <col min="11550" max="11782" width="9.140625" style="112"/>
    <col min="11783" max="11783" width="5.42578125" style="112" customWidth="1"/>
    <col min="11784" max="11784" width="45.140625" style="112" customWidth="1"/>
    <col min="11785" max="11786" width="12" style="112" customWidth="1"/>
    <col min="11787" max="11787" width="16.140625" style="112" customWidth="1"/>
    <col min="11788" max="11788" width="7.7109375" style="112" customWidth="1"/>
    <col min="11789" max="11789" width="12" style="112" customWidth="1"/>
    <col min="11790" max="11791" width="9" style="112" customWidth="1"/>
    <col min="11792" max="11792" width="11.28515625" style="112" customWidth="1"/>
    <col min="11793" max="11794" width="12" style="112" customWidth="1"/>
    <col min="11795" max="11795" width="17.140625" style="112" customWidth="1"/>
    <col min="11796" max="11796" width="9" style="112" customWidth="1"/>
    <col min="11797" max="11797" width="12" style="112" customWidth="1"/>
    <col min="11798" max="11799" width="9" style="112" customWidth="1"/>
    <col min="11800" max="11800" width="9.85546875" style="112" customWidth="1"/>
    <col min="11801" max="11801" width="10.140625" style="112" customWidth="1"/>
    <col min="11802" max="11802" width="7.85546875" style="112" customWidth="1"/>
    <col min="11803" max="11803" width="8.5703125" style="112" customWidth="1"/>
    <col min="11804" max="11804" width="7.85546875" style="112" customWidth="1"/>
    <col min="11805" max="11805" width="8.7109375" style="112" customWidth="1"/>
    <col min="11806" max="12038" width="9.140625" style="112"/>
    <col min="12039" max="12039" width="5.42578125" style="112" customWidth="1"/>
    <col min="12040" max="12040" width="45.140625" style="112" customWidth="1"/>
    <col min="12041" max="12042" width="12" style="112" customWidth="1"/>
    <col min="12043" max="12043" width="16.140625" style="112" customWidth="1"/>
    <col min="12044" max="12044" width="7.7109375" style="112" customWidth="1"/>
    <col min="12045" max="12045" width="12" style="112" customWidth="1"/>
    <col min="12046" max="12047" width="9" style="112" customWidth="1"/>
    <col min="12048" max="12048" width="11.28515625" style="112" customWidth="1"/>
    <col min="12049" max="12050" width="12" style="112" customWidth="1"/>
    <col min="12051" max="12051" width="17.140625" style="112" customWidth="1"/>
    <col min="12052" max="12052" width="9" style="112" customWidth="1"/>
    <col min="12053" max="12053" width="12" style="112" customWidth="1"/>
    <col min="12054" max="12055" width="9" style="112" customWidth="1"/>
    <col min="12056" max="12056" width="9.85546875" style="112" customWidth="1"/>
    <col min="12057" max="12057" width="10.140625" style="112" customWidth="1"/>
    <col min="12058" max="12058" width="7.85546875" style="112" customWidth="1"/>
    <col min="12059" max="12059" width="8.5703125" style="112" customWidth="1"/>
    <col min="12060" max="12060" width="7.85546875" style="112" customWidth="1"/>
    <col min="12061" max="12061" width="8.7109375" style="112" customWidth="1"/>
    <col min="12062" max="12294" width="9.140625" style="112"/>
    <col min="12295" max="12295" width="5.42578125" style="112" customWidth="1"/>
    <col min="12296" max="12296" width="45.140625" style="112" customWidth="1"/>
    <col min="12297" max="12298" width="12" style="112" customWidth="1"/>
    <col min="12299" max="12299" width="16.140625" style="112" customWidth="1"/>
    <col min="12300" max="12300" width="7.7109375" style="112" customWidth="1"/>
    <col min="12301" max="12301" width="12" style="112" customWidth="1"/>
    <col min="12302" max="12303" width="9" style="112" customWidth="1"/>
    <col min="12304" max="12304" width="11.28515625" style="112" customWidth="1"/>
    <col min="12305" max="12306" width="12" style="112" customWidth="1"/>
    <col min="12307" max="12307" width="17.140625" style="112" customWidth="1"/>
    <col min="12308" max="12308" width="9" style="112" customWidth="1"/>
    <col min="12309" max="12309" width="12" style="112" customWidth="1"/>
    <col min="12310" max="12311" width="9" style="112" customWidth="1"/>
    <col min="12312" max="12312" width="9.85546875" style="112" customWidth="1"/>
    <col min="12313" max="12313" width="10.140625" style="112" customWidth="1"/>
    <col min="12314" max="12314" width="7.85546875" style="112" customWidth="1"/>
    <col min="12315" max="12315" width="8.5703125" style="112" customWidth="1"/>
    <col min="12316" max="12316" width="7.85546875" style="112" customWidth="1"/>
    <col min="12317" max="12317" width="8.7109375" style="112" customWidth="1"/>
    <col min="12318" max="12550" width="9.140625" style="112"/>
    <col min="12551" max="12551" width="5.42578125" style="112" customWidth="1"/>
    <col min="12552" max="12552" width="45.140625" style="112" customWidth="1"/>
    <col min="12553" max="12554" width="12" style="112" customWidth="1"/>
    <col min="12555" max="12555" width="16.140625" style="112" customWidth="1"/>
    <col min="12556" max="12556" width="7.7109375" style="112" customWidth="1"/>
    <col min="12557" max="12557" width="12" style="112" customWidth="1"/>
    <col min="12558" max="12559" width="9" style="112" customWidth="1"/>
    <col min="12560" max="12560" width="11.28515625" style="112" customWidth="1"/>
    <col min="12561" max="12562" width="12" style="112" customWidth="1"/>
    <col min="12563" max="12563" width="17.140625" style="112" customWidth="1"/>
    <col min="12564" max="12564" width="9" style="112" customWidth="1"/>
    <col min="12565" max="12565" width="12" style="112" customWidth="1"/>
    <col min="12566" max="12567" width="9" style="112" customWidth="1"/>
    <col min="12568" max="12568" width="9.85546875" style="112" customWidth="1"/>
    <col min="12569" max="12569" width="10.140625" style="112" customWidth="1"/>
    <col min="12570" max="12570" width="7.85546875" style="112" customWidth="1"/>
    <col min="12571" max="12571" width="8.5703125" style="112" customWidth="1"/>
    <col min="12572" max="12572" width="7.85546875" style="112" customWidth="1"/>
    <col min="12573" max="12573" width="8.7109375" style="112" customWidth="1"/>
    <col min="12574" max="12806" width="9.140625" style="112"/>
    <col min="12807" max="12807" width="5.42578125" style="112" customWidth="1"/>
    <col min="12808" max="12808" width="45.140625" style="112" customWidth="1"/>
    <col min="12809" max="12810" width="12" style="112" customWidth="1"/>
    <col min="12811" max="12811" width="16.140625" style="112" customWidth="1"/>
    <col min="12812" max="12812" width="7.7109375" style="112" customWidth="1"/>
    <col min="12813" max="12813" width="12" style="112" customWidth="1"/>
    <col min="12814" max="12815" width="9" style="112" customWidth="1"/>
    <col min="12816" max="12816" width="11.28515625" style="112" customWidth="1"/>
    <col min="12817" max="12818" width="12" style="112" customWidth="1"/>
    <col min="12819" max="12819" width="17.140625" style="112" customWidth="1"/>
    <col min="12820" max="12820" width="9" style="112" customWidth="1"/>
    <col min="12821" max="12821" width="12" style="112" customWidth="1"/>
    <col min="12822" max="12823" width="9" style="112" customWidth="1"/>
    <col min="12824" max="12824" width="9.85546875" style="112" customWidth="1"/>
    <col min="12825" max="12825" width="10.140625" style="112" customWidth="1"/>
    <col min="12826" max="12826" width="7.85546875" style="112" customWidth="1"/>
    <col min="12827" max="12827" width="8.5703125" style="112" customWidth="1"/>
    <col min="12828" max="12828" width="7.85546875" style="112" customWidth="1"/>
    <col min="12829" max="12829" width="8.7109375" style="112" customWidth="1"/>
    <col min="12830" max="13062" width="9.140625" style="112"/>
    <col min="13063" max="13063" width="5.42578125" style="112" customWidth="1"/>
    <col min="13064" max="13064" width="45.140625" style="112" customWidth="1"/>
    <col min="13065" max="13066" width="12" style="112" customWidth="1"/>
    <col min="13067" max="13067" width="16.140625" style="112" customWidth="1"/>
    <col min="13068" max="13068" width="7.7109375" style="112" customWidth="1"/>
    <col min="13069" max="13069" width="12" style="112" customWidth="1"/>
    <col min="13070" max="13071" width="9" style="112" customWidth="1"/>
    <col min="13072" max="13072" width="11.28515625" style="112" customWidth="1"/>
    <col min="13073" max="13074" width="12" style="112" customWidth="1"/>
    <col min="13075" max="13075" width="17.140625" style="112" customWidth="1"/>
    <col min="13076" max="13076" width="9" style="112" customWidth="1"/>
    <col min="13077" max="13077" width="12" style="112" customWidth="1"/>
    <col min="13078" max="13079" width="9" style="112" customWidth="1"/>
    <col min="13080" max="13080" width="9.85546875" style="112" customWidth="1"/>
    <col min="13081" max="13081" width="10.140625" style="112" customWidth="1"/>
    <col min="13082" max="13082" width="7.85546875" style="112" customWidth="1"/>
    <col min="13083" max="13083" width="8.5703125" style="112" customWidth="1"/>
    <col min="13084" max="13084" width="7.85546875" style="112" customWidth="1"/>
    <col min="13085" max="13085" width="8.7109375" style="112" customWidth="1"/>
    <col min="13086" max="13318" width="9.140625" style="112"/>
    <col min="13319" max="13319" width="5.42578125" style="112" customWidth="1"/>
    <col min="13320" max="13320" width="45.140625" style="112" customWidth="1"/>
    <col min="13321" max="13322" width="12" style="112" customWidth="1"/>
    <col min="13323" max="13323" width="16.140625" style="112" customWidth="1"/>
    <col min="13324" max="13324" width="7.7109375" style="112" customWidth="1"/>
    <col min="13325" max="13325" width="12" style="112" customWidth="1"/>
    <col min="13326" max="13327" width="9" style="112" customWidth="1"/>
    <col min="13328" max="13328" width="11.28515625" style="112" customWidth="1"/>
    <col min="13329" max="13330" width="12" style="112" customWidth="1"/>
    <col min="13331" max="13331" width="17.140625" style="112" customWidth="1"/>
    <col min="13332" max="13332" width="9" style="112" customWidth="1"/>
    <col min="13333" max="13333" width="12" style="112" customWidth="1"/>
    <col min="13334" max="13335" width="9" style="112" customWidth="1"/>
    <col min="13336" max="13336" width="9.85546875" style="112" customWidth="1"/>
    <col min="13337" max="13337" width="10.140625" style="112" customWidth="1"/>
    <col min="13338" max="13338" width="7.85546875" style="112" customWidth="1"/>
    <col min="13339" max="13339" width="8.5703125" style="112" customWidth="1"/>
    <col min="13340" max="13340" width="7.85546875" style="112" customWidth="1"/>
    <col min="13341" max="13341" width="8.7109375" style="112" customWidth="1"/>
    <col min="13342" max="13574" width="9.140625" style="112"/>
    <col min="13575" max="13575" width="5.42578125" style="112" customWidth="1"/>
    <col min="13576" max="13576" width="45.140625" style="112" customWidth="1"/>
    <col min="13577" max="13578" width="12" style="112" customWidth="1"/>
    <col min="13579" max="13579" width="16.140625" style="112" customWidth="1"/>
    <col min="13580" max="13580" width="7.7109375" style="112" customWidth="1"/>
    <col min="13581" max="13581" width="12" style="112" customWidth="1"/>
    <col min="13582" max="13583" width="9" style="112" customWidth="1"/>
    <col min="13584" max="13584" width="11.28515625" style="112" customWidth="1"/>
    <col min="13585" max="13586" width="12" style="112" customWidth="1"/>
    <col min="13587" max="13587" width="17.140625" style="112" customWidth="1"/>
    <col min="13588" max="13588" width="9" style="112" customWidth="1"/>
    <col min="13589" max="13589" width="12" style="112" customWidth="1"/>
    <col min="13590" max="13591" width="9" style="112" customWidth="1"/>
    <col min="13592" max="13592" width="9.85546875" style="112" customWidth="1"/>
    <col min="13593" max="13593" width="10.140625" style="112" customWidth="1"/>
    <col min="13594" max="13594" width="7.85546875" style="112" customWidth="1"/>
    <col min="13595" max="13595" width="8.5703125" style="112" customWidth="1"/>
    <col min="13596" max="13596" width="7.85546875" style="112" customWidth="1"/>
    <col min="13597" max="13597" width="8.7109375" style="112" customWidth="1"/>
    <col min="13598" max="13830" width="9.140625" style="112"/>
    <col min="13831" max="13831" width="5.42578125" style="112" customWidth="1"/>
    <col min="13832" max="13832" width="45.140625" style="112" customWidth="1"/>
    <col min="13833" max="13834" width="12" style="112" customWidth="1"/>
    <col min="13835" max="13835" width="16.140625" style="112" customWidth="1"/>
    <col min="13836" max="13836" width="7.7109375" style="112" customWidth="1"/>
    <col min="13837" max="13837" width="12" style="112" customWidth="1"/>
    <col min="13838" max="13839" width="9" style="112" customWidth="1"/>
    <col min="13840" max="13840" width="11.28515625" style="112" customWidth="1"/>
    <col min="13841" max="13842" width="12" style="112" customWidth="1"/>
    <col min="13843" max="13843" width="17.140625" style="112" customWidth="1"/>
    <col min="13844" max="13844" width="9" style="112" customWidth="1"/>
    <col min="13845" max="13845" width="12" style="112" customWidth="1"/>
    <col min="13846" max="13847" width="9" style="112" customWidth="1"/>
    <col min="13848" max="13848" width="9.85546875" style="112" customWidth="1"/>
    <col min="13849" max="13849" width="10.140625" style="112" customWidth="1"/>
    <col min="13850" max="13850" width="7.85546875" style="112" customWidth="1"/>
    <col min="13851" max="13851" width="8.5703125" style="112" customWidth="1"/>
    <col min="13852" max="13852" width="7.85546875" style="112" customWidth="1"/>
    <col min="13853" max="13853" width="8.7109375" style="112" customWidth="1"/>
    <col min="13854" max="14086" width="9.140625" style="112"/>
    <col min="14087" max="14087" width="5.42578125" style="112" customWidth="1"/>
    <col min="14088" max="14088" width="45.140625" style="112" customWidth="1"/>
    <col min="14089" max="14090" width="12" style="112" customWidth="1"/>
    <col min="14091" max="14091" width="16.140625" style="112" customWidth="1"/>
    <col min="14092" max="14092" width="7.7109375" style="112" customWidth="1"/>
    <col min="14093" max="14093" width="12" style="112" customWidth="1"/>
    <col min="14094" max="14095" width="9" style="112" customWidth="1"/>
    <col min="14096" max="14096" width="11.28515625" style="112" customWidth="1"/>
    <col min="14097" max="14098" width="12" style="112" customWidth="1"/>
    <col min="14099" max="14099" width="17.140625" style="112" customWidth="1"/>
    <col min="14100" max="14100" width="9" style="112" customWidth="1"/>
    <col min="14101" max="14101" width="12" style="112" customWidth="1"/>
    <col min="14102" max="14103" width="9" style="112" customWidth="1"/>
    <col min="14104" max="14104" width="9.85546875" style="112" customWidth="1"/>
    <col min="14105" max="14105" width="10.140625" style="112" customWidth="1"/>
    <col min="14106" max="14106" width="7.85546875" style="112" customWidth="1"/>
    <col min="14107" max="14107" width="8.5703125" style="112" customWidth="1"/>
    <col min="14108" max="14108" width="7.85546875" style="112" customWidth="1"/>
    <col min="14109" max="14109" width="8.7109375" style="112" customWidth="1"/>
    <col min="14110" max="14342" width="9.140625" style="112"/>
    <col min="14343" max="14343" width="5.42578125" style="112" customWidth="1"/>
    <col min="14344" max="14344" width="45.140625" style="112" customWidth="1"/>
    <col min="14345" max="14346" width="12" style="112" customWidth="1"/>
    <col min="14347" max="14347" width="16.140625" style="112" customWidth="1"/>
    <col min="14348" max="14348" width="7.7109375" style="112" customWidth="1"/>
    <col min="14349" max="14349" width="12" style="112" customWidth="1"/>
    <col min="14350" max="14351" width="9" style="112" customWidth="1"/>
    <col min="14352" max="14352" width="11.28515625" style="112" customWidth="1"/>
    <col min="14353" max="14354" width="12" style="112" customWidth="1"/>
    <col min="14355" max="14355" width="17.140625" style="112" customWidth="1"/>
    <col min="14356" max="14356" width="9" style="112" customWidth="1"/>
    <col min="14357" max="14357" width="12" style="112" customWidth="1"/>
    <col min="14358" max="14359" width="9" style="112" customWidth="1"/>
    <col min="14360" max="14360" width="9.85546875" style="112" customWidth="1"/>
    <col min="14361" max="14361" width="10.140625" style="112" customWidth="1"/>
    <col min="14362" max="14362" width="7.85546875" style="112" customWidth="1"/>
    <col min="14363" max="14363" width="8.5703125" style="112" customWidth="1"/>
    <col min="14364" max="14364" width="7.85546875" style="112" customWidth="1"/>
    <col min="14365" max="14365" width="8.7109375" style="112" customWidth="1"/>
    <col min="14366" max="14598" width="9.140625" style="112"/>
    <col min="14599" max="14599" width="5.42578125" style="112" customWidth="1"/>
    <col min="14600" max="14600" width="45.140625" style="112" customWidth="1"/>
    <col min="14601" max="14602" width="12" style="112" customWidth="1"/>
    <col min="14603" max="14603" width="16.140625" style="112" customWidth="1"/>
    <col min="14604" max="14604" width="7.7109375" style="112" customWidth="1"/>
    <col min="14605" max="14605" width="12" style="112" customWidth="1"/>
    <col min="14606" max="14607" width="9" style="112" customWidth="1"/>
    <col min="14608" max="14608" width="11.28515625" style="112" customWidth="1"/>
    <col min="14609" max="14610" width="12" style="112" customWidth="1"/>
    <col min="14611" max="14611" width="17.140625" style="112" customWidth="1"/>
    <col min="14612" max="14612" width="9" style="112" customWidth="1"/>
    <col min="14613" max="14613" width="12" style="112" customWidth="1"/>
    <col min="14614" max="14615" width="9" style="112" customWidth="1"/>
    <col min="14616" max="14616" width="9.85546875" style="112" customWidth="1"/>
    <col min="14617" max="14617" width="10.140625" style="112" customWidth="1"/>
    <col min="14618" max="14618" width="7.85546875" style="112" customWidth="1"/>
    <col min="14619" max="14619" width="8.5703125" style="112" customWidth="1"/>
    <col min="14620" max="14620" width="7.85546875" style="112" customWidth="1"/>
    <col min="14621" max="14621" width="8.7109375" style="112" customWidth="1"/>
    <col min="14622" max="14854" width="9.140625" style="112"/>
    <col min="14855" max="14855" width="5.42578125" style="112" customWidth="1"/>
    <col min="14856" max="14856" width="45.140625" style="112" customWidth="1"/>
    <col min="14857" max="14858" width="12" style="112" customWidth="1"/>
    <col min="14859" max="14859" width="16.140625" style="112" customWidth="1"/>
    <col min="14860" max="14860" width="7.7109375" style="112" customWidth="1"/>
    <col min="14861" max="14861" width="12" style="112" customWidth="1"/>
    <col min="14862" max="14863" width="9" style="112" customWidth="1"/>
    <col min="14864" max="14864" width="11.28515625" style="112" customWidth="1"/>
    <col min="14865" max="14866" width="12" style="112" customWidth="1"/>
    <col min="14867" max="14867" width="17.140625" style="112" customWidth="1"/>
    <col min="14868" max="14868" width="9" style="112" customWidth="1"/>
    <col min="14869" max="14869" width="12" style="112" customWidth="1"/>
    <col min="14870" max="14871" width="9" style="112" customWidth="1"/>
    <col min="14872" max="14872" width="9.85546875" style="112" customWidth="1"/>
    <col min="14873" max="14873" width="10.140625" style="112" customWidth="1"/>
    <col min="14874" max="14874" width="7.85546875" style="112" customWidth="1"/>
    <col min="14875" max="14875" width="8.5703125" style="112" customWidth="1"/>
    <col min="14876" max="14876" width="7.85546875" style="112" customWidth="1"/>
    <col min="14877" max="14877" width="8.7109375" style="112" customWidth="1"/>
    <col min="14878" max="15110" width="9.140625" style="112"/>
    <col min="15111" max="15111" width="5.42578125" style="112" customWidth="1"/>
    <col min="15112" max="15112" width="45.140625" style="112" customWidth="1"/>
    <col min="15113" max="15114" width="12" style="112" customWidth="1"/>
    <col min="15115" max="15115" width="16.140625" style="112" customWidth="1"/>
    <col min="15116" max="15116" width="7.7109375" style="112" customWidth="1"/>
    <col min="15117" max="15117" width="12" style="112" customWidth="1"/>
    <col min="15118" max="15119" width="9" style="112" customWidth="1"/>
    <col min="15120" max="15120" width="11.28515625" style="112" customWidth="1"/>
    <col min="15121" max="15122" width="12" style="112" customWidth="1"/>
    <col min="15123" max="15123" width="17.140625" style="112" customWidth="1"/>
    <col min="15124" max="15124" width="9" style="112" customWidth="1"/>
    <col min="15125" max="15125" width="12" style="112" customWidth="1"/>
    <col min="15126" max="15127" width="9" style="112" customWidth="1"/>
    <col min="15128" max="15128" width="9.85546875" style="112" customWidth="1"/>
    <col min="15129" max="15129" width="10.140625" style="112" customWidth="1"/>
    <col min="15130" max="15130" width="7.85546875" style="112" customWidth="1"/>
    <col min="15131" max="15131" width="8.5703125" style="112" customWidth="1"/>
    <col min="15132" max="15132" width="7.85546875" style="112" customWidth="1"/>
    <col min="15133" max="15133" width="8.7109375" style="112" customWidth="1"/>
    <col min="15134" max="15366" width="9.140625" style="112"/>
    <col min="15367" max="15367" width="5.42578125" style="112" customWidth="1"/>
    <col min="15368" max="15368" width="45.140625" style="112" customWidth="1"/>
    <col min="15369" max="15370" width="12" style="112" customWidth="1"/>
    <col min="15371" max="15371" width="16.140625" style="112" customWidth="1"/>
    <col min="15372" max="15372" width="7.7109375" style="112" customWidth="1"/>
    <col min="15373" max="15373" width="12" style="112" customWidth="1"/>
    <col min="15374" max="15375" width="9" style="112" customWidth="1"/>
    <col min="15376" max="15376" width="11.28515625" style="112" customWidth="1"/>
    <col min="15377" max="15378" width="12" style="112" customWidth="1"/>
    <col min="15379" max="15379" width="17.140625" style="112" customWidth="1"/>
    <col min="15380" max="15380" width="9" style="112" customWidth="1"/>
    <col min="15381" max="15381" width="12" style="112" customWidth="1"/>
    <col min="15382" max="15383" width="9" style="112" customWidth="1"/>
    <col min="15384" max="15384" width="9.85546875" style="112" customWidth="1"/>
    <col min="15385" max="15385" width="10.140625" style="112" customWidth="1"/>
    <col min="15386" max="15386" width="7.85546875" style="112" customWidth="1"/>
    <col min="15387" max="15387" width="8.5703125" style="112" customWidth="1"/>
    <col min="15388" max="15388" width="7.85546875" style="112" customWidth="1"/>
    <col min="15389" max="15389" width="8.7109375" style="112" customWidth="1"/>
    <col min="15390" max="15622" width="9.140625" style="112"/>
    <col min="15623" max="15623" width="5.42578125" style="112" customWidth="1"/>
    <col min="15624" max="15624" width="45.140625" style="112" customWidth="1"/>
    <col min="15625" max="15626" width="12" style="112" customWidth="1"/>
    <col min="15627" max="15627" width="16.140625" style="112" customWidth="1"/>
    <col min="15628" max="15628" width="7.7109375" style="112" customWidth="1"/>
    <col min="15629" max="15629" width="12" style="112" customWidth="1"/>
    <col min="15630" max="15631" width="9" style="112" customWidth="1"/>
    <col min="15632" max="15632" width="11.28515625" style="112" customWidth="1"/>
    <col min="15633" max="15634" width="12" style="112" customWidth="1"/>
    <col min="15635" max="15635" width="17.140625" style="112" customWidth="1"/>
    <col min="15636" max="15636" width="9" style="112" customWidth="1"/>
    <col min="15637" max="15637" width="12" style="112" customWidth="1"/>
    <col min="15638" max="15639" width="9" style="112" customWidth="1"/>
    <col min="15640" max="15640" width="9.85546875" style="112" customWidth="1"/>
    <col min="15641" max="15641" width="10.140625" style="112" customWidth="1"/>
    <col min="15642" max="15642" width="7.85546875" style="112" customWidth="1"/>
    <col min="15643" max="15643" width="8.5703125" style="112" customWidth="1"/>
    <col min="15644" max="15644" width="7.85546875" style="112" customWidth="1"/>
    <col min="15645" max="15645" width="8.7109375" style="112" customWidth="1"/>
    <col min="15646" max="15878" width="9.140625" style="112"/>
    <col min="15879" max="15879" width="5.42578125" style="112" customWidth="1"/>
    <col min="15880" max="15880" width="45.140625" style="112" customWidth="1"/>
    <col min="15881" max="15882" width="12" style="112" customWidth="1"/>
    <col min="15883" max="15883" width="16.140625" style="112" customWidth="1"/>
    <col min="15884" max="15884" width="7.7109375" style="112" customWidth="1"/>
    <col min="15885" max="15885" width="12" style="112" customWidth="1"/>
    <col min="15886" max="15887" width="9" style="112" customWidth="1"/>
    <col min="15888" max="15888" width="11.28515625" style="112" customWidth="1"/>
    <col min="15889" max="15890" width="12" style="112" customWidth="1"/>
    <col min="15891" max="15891" width="17.140625" style="112" customWidth="1"/>
    <col min="15892" max="15892" width="9" style="112" customWidth="1"/>
    <col min="15893" max="15893" width="12" style="112" customWidth="1"/>
    <col min="15894" max="15895" width="9" style="112" customWidth="1"/>
    <col min="15896" max="15896" width="9.85546875" style="112" customWidth="1"/>
    <col min="15897" max="15897" width="10.140625" style="112" customWidth="1"/>
    <col min="15898" max="15898" width="7.85546875" style="112" customWidth="1"/>
    <col min="15899" max="15899" width="8.5703125" style="112" customWidth="1"/>
    <col min="15900" max="15900" width="7.85546875" style="112" customWidth="1"/>
    <col min="15901" max="15901" width="8.7109375" style="112" customWidth="1"/>
    <col min="15902" max="16134" width="9.140625" style="112"/>
    <col min="16135" max="16135" width="5.42578125" style="112" customWidth="1"/>
    <col min="16136" max="16136" width="45.140625" style="112" customWidth="1"/>
    <col min="16137" max="16138" width="12" style="112" customWidth="1"/>
    <col min="16139" max="16139" width="16.140625" style="112" customWidth="1"/>
    <col min="16140" max="16140" width="7.7109375" style="112" customWidth="1"/>
    <col min="16141" max="16141" width="12" style="112" customWidth="1"/>
    <col min="16142" max="16143" width="9" style="112" customWidth="1"/>
    <col min="16144" max="16144" width="11.28515625" style="112" customWidth="1"/>
    <col min="16145" max="16146" width="12" style="112" customWidth="1"/>
    <col min="16147" max="16147" width="17.140625" style="112" customWidth="1"/>
    <col min="16148" max="16148" width="9" style="112" customWidth="1"/>
    <col min="16149" max="16149" width="12" style="112" customWidth="1"/>
    <col min="16150" max="16151" width="9" style="112" customWidth="1"/>
    <col min="16152" max="16152" width="9.85546875" style="112" customWidth="1"/>
    <col min="16153" max="16153" width="10.140625" style="112" customWidth="1"/>
    <col min="16154" max="16154" width="7.85546875" style="112" customWidth="1"/>
    <col min="16155" max="16155" width="8.5703125" style="112" customWidth="1"/>
    <col min="16156" max="16156" width="7.85546875" style="112" customWidth="1"/>
    <col min="16157" max="16157" width="8.7109375" style="112" customWidth="1"/>
    <col min="16158" max="16384" width="9.140625" style="112"/>
  </cols>
  <sheetData>
    <row r="1" spans="1:35" ht="16.5">
      <c r="A1" s="110"/>
      <c r="B1" s="629" t="s">
        <v>537</v>
      </c>
      <c r="C1" s="629"/>
      <c r="D1" s="33"/>
      <c r="E1" s="111"/>
      <c r="F1" s="111"/>
      <c r="G1" s="111"/>
      <c r="H1" s="111"/>
      <c r="O1" s="33"/>
      <c r="P1" s="111"/>
      <c r="Q1" s="111"/>
      <c r="R1" s="111"/>
      <c r="AB1" s="113"/>
      <c r="AF1" s="112"/>
    </row>
    <row r="2" spans="1:35">
      <c r="A2" s="114"/>
      <c r="B2" s="111"/>
      <c r="C2" s="111"/>
      <c r="D2" s="33"/>
      <c r="G2" s="111"/>
      <c r="O2" s="33"/>
      <c r="AB2" s="111"/>
      <c r="AF2" s="112"/>
    </row>
    <row r="3" spans="1:35" ht="21.75" customHeight="1">
      <c r="A3" s="630" t="s">
        <v>849</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14"/>
    </row>
    <row r="4" spans="1:35" ht="21.75" customHeight="1">
      <c r="A4" s="631" t="s">
        <v>641</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14"/>
    </row>
    <row r="5" spans="1:35" ht="53.25" customHeight="1">
      <c r="A5" s="115"/>
      <c r="B5" s="116">
        <v>4910047.4558450002</v>
      </c>
      <c r="C5" s="117">
        <f>4861647</f>
        <v>4861647</v>
      </c>
      <c r="D5" s="174">
        <f>C5-C11</f>
        <v>1382515.3897169996</v>
      </c>
      <c r="E5" s="116" t="s">
        <v>712</v>
      </c>
      <c r="F5" s="116">
        <v>653733</v>
      </c>
      <c r="G5" s="116">
        <f>C5+F5</f>
        <v>5515380</v>
      </c>
      <c r="H5" s="117">
        <v>5563780.0382829998</v>
      </c>
      <c r="I5" s="117">
        <f>H5-G5</f>
        <v>48400.038282999769</v>
      </c>
      <c r="J5" s="116">
        <f>B5-C5</f>
        <v>48400.455845000222</v>
      </c>
      <c r="K5" s="116"/>
      <c r="L5" s="116"/>
      <c r="M5" s="116"/>
      <c r="N5" s="116"/>
      <c r="O5" s="116"/>
      <c r="P5" s="116"/>
      <c r="Q5" s="116"/>
      <c r="R5" s="116"/>
      <c r="S5" s="116"/>
      <c r="T5" s="116"/>
      <c r="U5" s="116"/>
      <c r="V5" s="116"/>
      <c r="W5" s="116"/>
      <c r="X5" s="116"/>
      <c r="Y5" s="116"/>
      <c r="Z5" s="116"/>
      <c r="AA5" s="116"/>
      <c r="AB5" s="116"/>
      <c r="AC5" s="116"/>
      <c r="AD5" s="116"/>
      <c r="AE5" s="116"/>
      <c r="AF5" s="14"/>
    </row>
    <row r="6" spans="1:35">
      <c r="B6" s="118"/>
      <c r="C6" s="161"/>
      <c r="D6" s="111"/>
      <c r="E6" s="111"/>
      <c r="F6" s="111"/>
      <c r="G6" s="111"/>
      <c r="H6" s="111"/>
      <c r="I6" s="111"/>
      <c r="J6" s="111"/>
      <c r="K6" s="111"/>
      <c r="L6" s="111"/>
      <c r="M6" s="111"/>
      <c r="N6" s="181">
        <f>N11+'[4]bieu 52_Tan_Xong'!D10</f>
        <v>6588900.1900319997</v>
      </c>
      <c r="O6" s="111"/>
      <c r="P6" s="111"/>
      <c r="Q6" s="111"/>
      <c r="R6" s="111"/>
      <c r="S6" s="111"/>
      <c r="T6" s="111"/>
      <c r="U6" s="111"/>
      <c r="W6" s="33"/>
      <c r="X6" s="111"/>
      <c r="Y6" s="111"/>
      <c r="Z6" s="111"/>
      <c r="AA6" s="111"/>
      <c r="AB6" s="606"/>
      <c r="AC6" s="606"/>
      <c r="AD6" s="624" t="s">
        <v>539</v>
      </c>
      <c r="AE6" s="624"/>
      <c r="AF6" s="112"/>
    </row>
    <row r="7" spans="1:35" s="16" customFormat="1" ht="15.75" customHeight="1">
      <c r="A7" s="625" t="s">
        <v>16</v>
      </c>
      <c r="B7" s="625" t="s">
        <v>375</v>
      </c>
      <c r="C7" s="627" t="s">
        <v>303</v>
      </c>
      <c r="D7" s="632"/>
      <c r="E7" s="632"/>
      <c r="F7" s="632"/>
      <c r="G7" s="632"/>
      <c r="H7" s="632"/>
      <c r="I7" s="632"/>
      <c r="J7" s="632"/>
      <c r="K7" s="632"/>
      <c r="L7" s="632"/>
      <c r="M7" s="628"/>
      <c r="N7" s="627" t="s">
        <v>324</v>
      </c>
      <c r="O7" s="632"/>
      <c r="P7" s="632"/>
      <c r="Q7" s="632"/>
      <c r="R7" s="632"/>
      <c r="S7" s="632"/>
      <c r="T7" s="632"/>
      <c r="U7" s="632"/>
      <c r="V7" s="632"/>
      <c r="W7" s="632"/>
      <c r="X7" s="632"/>
      <c r="Y7" s="119"/>
      <c r="Z7" s="119"/>
      <c r="AA7" s="119"/>
      <c r="AB7" s="625" t="s">
        <v>325</v>
      </c>
      <c r="AC7" s="625"/>
      <c r="AD7" s="625"/>
      <c r="AE7" s="625"/>
    </row>
    <row r="8" spans="1:35" s="16" customFormat="1" ht="25.5" customHeight="1">
      <c r="A8" s="625"/>
      <c r="B8" s="625"/>
      <c r="C8" s="625" t="s">
        <v>588</v>
      </c>
      <c r="D8" s="625" t="s">
        <v>376</v>
      </c>
      <c r="E8" s="625" t="s">
        <v>377</v>
      </c>
      <c r="F8" s="625" t="s">
        <v>378</v>
      </c>
      <c r="G8" s="627" t="s">
        <v>379</v>
      </c>
      <c r="H8" s="628"/>
      <c r="I8" s="625" t="s">
        <v>587</v>
      </c>
      <c r="J8" s="607" t="s">
        <v>710</v>
      </c>
      <c r="K8" s="625" t="s">
        <v>380</v>
      </c>
      <c r="L8" s="625"/>
      <c r="M8" s="625"/>
      <c r="N8" s="625" t="s">
        <v>155</v>
      </c>
      <c r="O8" s="625" t="s">
        <v>376</v>
      </c>
      <c r="P8" s="625" t="s">
        <v>377</v>
      </c>
      <c r="Q8" s="633" t="s">
        <v>159</v>
      </c>
      <c r="R8" s="634"/>
      <c r="S8" s="625" t="s">
        <v>587</v>
      </c>
      <c r="T8" s="625" t="s">
        <v>719</v>
      </c>
      <c r="U8" s="625" t="s">
        <v>380</v>
      </c>
      <c r="V8" s="625"/>
      <c r="W8" s="625"/>
      <c r="X8" s="625" t="s">
        <v>381</v>
      </c>
      <c r="Y8" s="627" t="s">
        <v>159</v>
      </c>
      <c r="Z8" s="628"/>
      <c r="AA8" s="625" t="s">
        <v>472</v>
      </c>
      <c r="AB8" s="625" t="s">
        <v>155</v>
      </c>
      <c r="AC8" s="626" t="s">
        <v>376</v>
      </c>
      <c r="AD8" s="626" t="s">
        <v>377</v>
      </c>
      <c r="AE8" s="626" t="s">
        <v>380</v>
      </c>
    </row>
    <row r="9" spans="1:35" s="122" customFormat="1" ht="133.5" customHeight="1">
      <c r="A9" s="625"/>
      <c r="B9" s="625"/>
      <c r="C9" s="625"/>
      <c r="D9" s="625"/>
      <c r="E9" s="625"/>
      <c r="F9" s="625"/>
      <c r="G9" s="120" t="s">
        <v>171</v>
      </c>
      <c r="H9" s="120" t="s">
        <v>172</v>
      </c>
      <c r="I9" s="625"/>
      <c r="J9" s="607"/>
      <c r="K9" s="35" t="s">
        <v>155</v>
      </c>
      <c r="L9" s="35" t="s">
        <v>383</v>
      </c>
      <c r="M9" s="35" t="s">
        <v>384</v>
      </c>
      <c r="N9" s="625"/>
      <c r="O9" s="625"/>
      <c r="P9" s="625"/>
      <c r="Q9" s="121" t="s">
        <v>385</v>
      </c>
      <c r="R9" s="121" t="s">
        <v>386</v>
      </c>
      <c r="S9" s="625"/>
      <c r="T9" s="625"/>
      <c r="U9" s="35" t="s">
        <v>155</v>
      </c>
      <c r="V9" s="35" t="s">
        <v>383</v>
      </c>
      <c r="W9" s="35" t="s">
        <v>384</v>
      </c>
      <c r="X9" s="625"/>
      <c r="Y9" s="120" t="s">
        <v>387</v>
      </c>
      <c r="Z9" s="120" t="s">
        <v>388</v>
      </c>
      <c r="AA9" s="625"/>
      <c r="AB9" s="625"/>
      <c r="AC9" s="626"/>
      <c r="AD9" s="626"/>
      <c r="AE9" s="626"/>
    </row>
    <row r="10" spans="1:35" s="124" customFormat="1" ht="18.75" customHeight="1">
      <c r="A10" s="123" t="s">
        <v>23</v>
      </c>
      <c r="B10" s="123" t="s">
        <v>24</v>
      </c>
      <c r="C10" s="123" t="s">
        <v>389</v>
      </c>
      <c r="D10" s="123">
        <v>2</v>
      </c>
      <c r="E10" s="123">
        <v>3</v>
      </c>
      <c r="F10" s="123"/>
      <c r="G10" s="123"/>
      <c r="H10" s="123"/>
      <c r="I10" s="123">
        <v>4</v>
      </c>
      <c r="J10" s="123">
        <v>5</v>
      </c>
      <c r="K10" s="123" t="s">
        <v>390</v>
      </c>
      <c r="L10" s="123">
        <v>7</v>
      </c>
      <c r="M10" s="123">
        <v>8</v>
      </c>
      <c r="N10" s="182" t="s">
        <v>391</v>
      </c>
      <c r="O10" s="123">
        <v>10</v>
      </c>
      <c r="P10" s="123">
        <v>11</v>
      </c>
      <c r="Q10" s="123"/>
      <c r="R10" s="123"/>
      <c r="S10" s="123">
        <v>12</v>
      </c>
      <c r="T10" s="123">
        <v>13</v>
      </c>
      <c r="U10" s="123" t="s">
        <v>392</v>
      </c>
      <c r="V10" s="123">
        <v>15</v>
      </c>
      <c r="W10" s="123">
        <v>16</v>
      </c>
      <c r="X10" s="123" t="s">
        <v>393</v>
      </c>
      <c r="Y10" s="123">
        <v>18</v>
      </c>
      <c r="Z10" s="123">
        <v>19</v>
      </c>
      <c r="AA10" s="123">
        <v>20</v>
      </c>
      <c r="AB10" s="123" t="s">
        <v>394</v>
      </c>
      <c r="AC10" s="123" t="s">
        <v>395</v>
      </c>
      <c r="AD10" s="123" t="s">
        <v>396</v>
      </c>
      <c r="AE10" s="123" t="s">
        <v>397</v>
      </c>
      <c r="AG10" s="129">
        <f>O11-'[4]bieu 53_Tan'!M8</f>
        <v>-5884185.5425799992</v>
      </c>
    </row>
    <row r="11" spans="1:35" s="125" customFormat="1" ht="18.75" customHeight="1">
      <c r="A11" s="34"/>
      <c r="B11" s="34" t="s">
        <v>155</v>
      </c>
      <c r="C11" s="295">
        <f>D11+E11+I11+J11+K11</f>
        <v>3479131.6102830004</v>
      </c>
      <c r="D11" s="34">
        <f t="shared" ref="D11:M11" si="0">D12+D114+D115+D116+D120+D121+D110+D117+D118+D119+D122</f>
        <v>322528.57200000004</v>
      </c>
      <c r="E11" s="34">
        <f t="shared" si="0"/>
        <v>1804680.0382830002</v>
      </c>
      <c r="F11" s="34">
        <f t="shared" si="0"/>
        <v>1680763.0382830002</v>
      </c>
      <c r="G11" s="34">
        <f t="shared" si="0"/>
        <v>3790</v>
      </c>
      <c r="H11" s="34">
        <f t="shared" si="0"/>
        <v>59126</v>
      </c>
      <c r="I11" s="34">
        <f t="shared" si="0"/>
        <v>2200</v>
      </c>
      <c r="J11" s="34">
        <f t="shared" si="0"/>
        <v>1349723</v>
      </c>
      <c r="K11" s="34">
        <f t="shared" si="0"/>
        <v>0</v>
      </c>
      <c r="L11" s="34">
        <f t="shared" si="0"/>
        <v>0</v>
      </c>
      <c r="M11" s="34">
        <f t="shared" si="0"/>
        <v>0</v>
      </c>
      <c r="N11" s="34">
        <f>N12+N114+N115+N116+N120+N121+N110+N122+N119+N118+N117</f>
        <v>4164352.7000319995</v>
      </c>
      <c r="O11" s="34">
        <f t="shared" ref="O11:AA11" si="1">O12+O114+O115+O116+O120+O121+O110+O122+O119+O118+O117</f>
        <v>0</v>
      </c>
      <c r="P11" s="34">
        <f>P12+P114+P115+P116+P120+P121+P110+P122+P119+P118+P117</f>
        <v>1800607.1564369998</v>
      </c>
      <c r="Q11" s="34">
        <f>Q12+Q114+Q115+Q116+Q120+Q121+Q110+Q122+Q119+Q118+Q117</f>
        <v>1460838.5994149998</v>
      </c>
      <c r="R11" s="34">
        <f t="shared" si="1"/>
        <v>339768.55702200002</v>
      </c>
      <c r="S11" s="34">
        <f t="shared" si="1"/>
        <v>9699.7659999999996</v>
      </c>
      <c r="T11" s="34">
        <f t="shared" si="1"/>
        <v>35154</v>
      </c>
      <c r="U11" s="34">
        <f>U12+U114+U115+U116+U120+U121+U110+U122+U119+U118+U117</f>
        <v>45655.139996999991</v>
      </c>
      <c r="V11" s="34">
        <f t="shared" si="1"/>
        <v>0</v>
      </c>
      <c r="W11" s="34">
        <f t="shared" si="1"/>
        <v>45655.139996999991</v>
      </c>
      <c r="X11" s="34">
        <f t="shared" si="1"/>
        <v>1954866.6281059999</v>
      </c>
      <c r="Y11" s="34">
        <f t="shared" si="1"/>
        <v>0</v>
      </c>
      <c r="Z11" s="34">
        <f t="shared" si="1"/>
        <v>0</v>
      </c>
      <c r="AA11" s="34">
        <f t="shared" si="1"/>
        <v>318370.00949199998</v>
      </c>
      <c r="AB11" s="296">
        <f t="shared" ref="AB11:AC26" si="2">N11/C11%</f>
        <v>119.69517588020368</v>
      </c>
      <c r="AC11" s="296">
        <f>O11/D11%</f>
        <v>0</v>
      </c>
      <c r="AD11" s="296">
        <f t="shared" ref="AD11:AD71" si="3">P11/E11%</f>
        <v>99.774315570649549</v>
      </c>
      <c r="AE11" s="296"/>
      <c r="AH11" s="126">
        <f>N11-O11-P11-S11-T11-U11</f>
        <v>2273236.637598</v>
      </c>
    </row>
    <row r="12" spans="1:35" s="125" customFormat="1" ht="24.75" customHeight="1">
      <c r="A12" s="295" t="s">
        <v>28</v>
      </c>
      <c r="B12" s="297" t="s">
        <v>156</v>
      </c>
      <c r="C12" s="295">
        <f>D12+E12+I12+J12+K12</f>
        <v>2066207.6102830004</v>
      </c>
      <c r="D12" s="295">
        <f t="shared" ref="D12:Z12" si="4">D13+D98</f>
        <v>322528.57200000004</v>
      </c>
      <c r="E12" s="295">
        <f t="shared" si="4"/>
        <v>1743679.0382830002</v>
      </c>
      <c r="F12" s="295">
        <f t="shared" si="4"/>
        <v>1680763.0382830002</v>
      </c>
      <c r="G12" s="295">
        <f t="shared" si="4"/>
        <v>3790</v>
      </c>
      <c r="H12" s="295">
        <f t="shared" si="4"/>
        <v>59126</v>
      </c>
      <c r="I12" s="295">
        <f t="shared" si="4"/>
        <v>0</v>
      </c>
      <c r="J12" s="295">
        <f t="shared" si="4"/>
        <v>0</v>
      </c>
      <c r="K12" s="295">
        <f t="shared" si="4"/>
        <v>0</v>
      </c>
      <c r="L12" s="295">
        <f t="shared" si="4"/>
        <v>0</v>
      </c>
      <c r="M12" s="295">
        <f t="shared" si="4"/>
        <v>0</v>
      </c>
      <c r="N12" s="295">
        <f t="shared" si="4"/>
        <v>1846262.2964339994</v>
      </c>
      <c r="O12" s="295">
        <f t="shared" si="4"/>
        <v>0</v>
      </c>
      <c r="P12" s="295">
        <f t="shared" si="4"/>
        <v>1800607.1564369998</v>
      </c>
      <c r="Q12" s="295">
        <f t="shared" si="4"/>
        <v>1460838.5994149998</v>
      </c>
      <c r="R12" s="295">
        <f t="shared" si="4"/>
        <v>339768.55702200002</v>
      </c>
      <c r="S12" s="295">
        <f t="shared" si="4"/>
        <v>0</v>
      </c>
      <c r="T12" s="295">
        <f t="shared" si="4"/>
        <v>0</v>
      </c>
      <c r="U12" s="295">
        <f t="shared" si="4"/>
        <v>45655.139996999991</v>
      </c>
      <c r="V12" s="295">
        <f t="shared" si="4"/>
        <v>0</v>
      </c>
      <c r="W12" s="295">
        <f t="shared" si="4"/>
        <v>45655.139996999991</v>
      </c>
      <c r="X12" s="295">
        <f t="shared" si="4"/>
        <v>0</v>
      </c>
      <c r="Y12" s="295">
        <f t="shared" si="4"/>
        <v>0</v>
      </c>
      <c r="Z12" s="295">
        <f t="shared" si="4"/>
        <v>0</v>
      </c>
      <c r="AA12" s="295"/>
      <c r="AB12" s="296">
        <f t="shared" si="2"/>
        <v>89.355120329903542</v>
      </c>
      <c r="AC12" s="296">
        <f t="shared" si="2"/>
        <v>0</v>
      </c>
      <c r="AD12" s="296">
        <f t="shared" si="3"/>
        <v>103.26482780971298</v>
      </c>
      <c r="AE12" s="296"/>
      <c r="AG12" s="126"/>
      <c r="AH12" s="126">
        <f t="shared" ref="AH12:AH75" si="5">N12-O12-P12-S12-T12-U12</f>
        <v>-3.4924596548080444E-10</v>
      </c>
      <c r="AI12" s="126"/>
    </row>
    <row r="13" spans="1:35" s="125" customFormat="1" ht="33.75" customHeight="1">
      <c r="A13" s="295" t="s">
        <v>398</v>
      </c>
      <c r="B13" s="297" t="s">
        <v>399</v>
      </c>
      <c r="C13" s="295">
        <f t="shared" ref="C13:M13" si="6">SUM(C14:C97)</f>
        <v>2066207.6102830002</v>
      </c>
      <c r="D13" s="295">
        <f t="shared" si="6"/>
        <v>322528.57200000004</v>
      </c>
      <c r="E13" s="295">
        <f t="shared" si="6"/>
        <v>1743679.0382830002</v>
      </c>
      <c r="F13" s="295">
        <f t="shared" si="6"/>
        <v>1680763.0382830002</v>
      </c>
      <c r="G13" s="295">
        <f t="shared" si="6"/>
        <v>3790</v>
      </c>
      <c r="H13" s="295">
        <f t="shared" si="6"/>
        <v>59126</v>
      </c>
      <c r="I13" s="295">
        <f t="shared" si="6"/>
        <v>0</v>
      </c>
      <c r="J13" s="295">
        <f t="shared" si="6"/>
        <v>0</v>
      </c>
      <c r="K13" s="295">
        <f t="shared" si="6"/>
        <v>0</v>
      </c>
      <c r="L13" s="295">
        <f t="shared" si="6"/>
        <v>0</v>
      </c>
      <c r="M13" s="295">
        <f t="shared" si="6"/>
        <v>0</v>
      </c>
      <c r="N13" s="295">
        <f>SUM(N14:N97)</f>
        <v>1846262.2964339994</v>
      </c>
      <c r="O13" s="295">
        <f t="shared" ref="O13:AA13" si="7">SUM(O14:O97)</f>
        <v>0</v>
      </c>
      <c r="P13" s="295">
        <f t="shared" si="7"/>
        <v>1800607.1564369998</v>
      </c>
      <c r="Q13" s="295">
        <f t="shared" si="7"/>
        <v>1460838.5994149998</v>
      </c>
      <c r="R13" s="295">
        <f>SUM(R14:R97)</f>
        <v>339768.55702200002</v>
      </c>
      <c r="S13" s="295">
        <f t="shared" si="7"/>
        <v>0</v>
      </c>
      <c r="T13" s="295">
        <f t="shared" si="7"/>
        <v>0</v>
      </c>
      <c r="U13" s="295">
        <f t="shared" si="7"/>
        <v>45655.139996999991</v>
      </c>
      <c r="V13" s="295">
        <f t="shared" si="7"/>
        <v>0</v>
      </c>
      <c r="W13" s="295">
        <f>SUM(W14:W97)</f>
        <v>45655.139996999991</v>
      </c>
      <c r="X13" s="295">
        <f t="shared" si="7"/>
        <v>0</v>
      </c>
      <c r="Y13" s="295">
        <f t="shared" si="7"/>
        <v>0</v>
      </c>
      <c r="Z13" s="295">
        <f t="shared" si="7"/>
        <v>0</v>
      </c>
      <c r="AA13" s="295">
        <f t="shared" si="7"/>
        <v>0</v>
      </c>
      <c r="AB13" s="296">
        <f t="shared" si="2"/>
        <v>89.355120329903556</v>
      </c>
      <c r="AC13" s="296">
        <f t="shared" si="2"/>
        <v>0</v>
      </c>
      <c r="AD13" s="296">
        <f t="shared" si="3"/>
        <v>103.26482780971298</v>
      </c>
      <c r="AE13" s="296"/>
      <c r="AG13" s="183">
        <f>374922.557022-R13-T11</f>
        <v>0</v>
      </c>
      <c r="AH13" s="126">
        <f t="shared" si="5"/>
        <v>-3.4924596548080444E-10</v>
      </c>
      <c r="AI13" s="112"/>
    </row>
    <row r="14" spans="1:35" s="127" customFormat="1" ht="25.5" customHeight="1">
      <c r="A14" s="298" t="s">
        <v>244</v>
      </c>
      <c r="B14" s="299" t="s">
        <v>720</v>
      </c>
      <c r="C14" s="300">
        <f>D14+E14+I14+J14+K14</f>
        <v>144060.78</v>
      </c>
      <c r="D14" s="300">
        <v>9443.7799999999988</v>
      </c>
      <c r="E14" s="300">
        <f>F14+G14+H14</f>
        <v>134617</v>
      </c>
      <c r="F14" s="300">
        <v>134617</v>
      </c>
      <c r="G14" s="300"/>
      <c r="H14" s="300"/>
      <c r="I14" s="300"/>
      <c r="J14" s="300"/>
      <c r="K14" s="300">
        <f t="shared" ref="K14:K77" si="8">L14+M14</f>
        <v>0</v>
      </c>
      <c r="L14" s="300"/>
      <c r="M14" s="300"/>
      <c r="N14" s="300">
        <f>O14+P14+S14+T14+U14</f>
        <v>126874.823317</v>
      </c>
      <c r="O14" s="300"/>
      <c r="P14" s="301">
        <f>Q14+R14</f>
        <v>121092.07612900001</v>
      </c>
      <c r="Q14" s="300">
        <f>5430.126913-693.126913+4824.341957-77.794599+3982.627167-138.337889+3604.341875+8115.338623+4833.6154+12484.92949+630+3971+4021+3021+3326+3251+2751.942+1707.045805+4896.124-1263.124+3101+1948.031+3281.834+3914+10707.59304+2641+2735.495+3573+2610+2239+1613+2123.078687+4917.57-1022.57+606.266639+9009.659827-1992.659827+1003.861894-595.13396</f>
        <v>121092.07612900001</v>
      </c>
      <c r="R14" s="301"/>
      <c r="S14" s="300"/>
      <c r="T14" s="300"/>
      <c r="U14" s="300">
        <f t="shared" ref="U14:U34" si="9">V14+W14</f>
        <v>5782.7471880000003</v>
      </c>
      <c r="V14" s="300"/>
      <c r="W14" s="300">
        <f>693.126913+77.794599+138.337889+1263.124+1022.57+1992.659827+595.13396</f>
        <v>5782.7471880000003</v>
      </c>
      <c r="X14" s="300"/>
      <c r="Y14" s="300"/>
      <c r="Z14" s="300"/>
      <c r="AA14" s="300"/>
      <c r="AB14" s="302">
        <f t="shared" si="2"/>
        <v>88.070343168348799</v>
      </c>
      <c r="AC14" s="302">
        <f>O14/D14%</f>
        <v>0</v>
      </c>
      <c r="AD14" s="302">
        <f t="shared" si="3"/>
        <v>89.953034259417464</v>
      </c>
      <c r="AE14" s="302"/>
      <c r="AG14" s="111">
        <f>E14+F14</f>
        <v>269234</v>
      </c>
      <c r="AH14" s="126">
        <f t="shared" si="5"/>
        <v>0</v>
      </c>
      <c r="AI14" s="112"/>
    </row>
    <row r="15" spans="1:35" s="127" customFormat="1" ht="24.75" customHeight="1">
      <c r="A15" s="303" t="s">
        <v>245</v>
      </c>
      <c r="B15" s="304" t="s">
        <v>666</v>
      </c>
      <c r="C15" s="300">
        <f t="shared" ref="C15:C78" si="10">D15+E15+I15+J15+K15</f>
        <v>29232</v>
      </c>
      <c r="D15" s="300">
        <v>699</v>
      </c>
      <c r="E15" s="300">
        <f t="shared" ref="E15:E78" si="11">F15+G15+H15</f>
        <v>28533</v>
      </c>
      <c r="F15" s="300">
        <v>28533</v>
      </c>
      <c r="G15" s="300"/>
      <c r="H15" s="300"/>
      <c r="I15" s="300"/>
      <c r="J15" s="300"/>
      <c r="K15" s="300">
        <f t="shared" si="8"/>
        <v>0</v>
      </c>
      <c r="L15" s="300"/>
      <c r="M15" s="300"/>
      <c r="N15" s="300">
        <f>O15+P15+S15+T15+U15</f>
        <v>33293.697</v>
      </c>
      <c r="O15" s="300"/>
      <c r="P15" s="301">
        <f t="shared" ref="P15:P78" si="12">Q15+R15</f>
        <v>33293.697</v>
      </c>
      <c r="Q15" s="300">
        <v>33293.697</v>
      </c>
      <c r="R15" s="300"/>
      <c r="S15" s="300"/>
      <c r="T15" s="300"/>
      <c r="U15" s="300">
        <f t="shared" si="9"/>
        <v>0</v>
      </c>
      <c r="V15" s="300"/>
      <c r="W15" s="300"/>
      <c r="X15" s="300"/>
      <c r="Y15" s="300"/>
      <c r="Z15" s="300"/>
      <c r="AA15" s="300"/>
      <c r="AB15" s="302">
        <f t="shared" si="2"/>
        <v>113.89469417077176</v>
      </c>
      <c r="AC15" s="302">
        <f t="shared" si="2"/>
        <v>0</v>
      </c>
      <c r="AD15" s="302">
        <f t="shared" si="3"/>
        <v>116.68488066449375</v>
      </c>
      <c r="AE15" s="302"/>
      <c r="AG15" s="111">
        <f t="shared" ref="AG15:AG78" si="13">E15+F15</f>
        <v>57066</v>
      </c>
      <c r="AH15" s="126">
        <f t="shared" si="5"/>
        <v>0</v>
      </c>
      <c r="AI15" s="112"/>
    </row>
    <row r="16" spans="1:35" s="127" customFormat="1" ht="24.75" customHeight="1">
      <c r="A16" s="298" t="s">
        <v>246</v>
      </c>
      <c r="B16" s="305" t="s">
        <v>667</v>
      </c>
      <c r="C16" s="300">
        <f t="shared" si="10"/>
        <v>77981</v>
      </c>
      <c r="D16" s="300"/>
      <c r="E16" s="300">
        <f t="shared" si="11"/>
        <v>77981</v>
      </c>
      <c r="F16" s="300">
        <v>34054</v>
      </c>
      <c r="G16" s="300"/>
      <c r="H16" s="300">
        <f>650+43277</f>
        <v>43927</v>
      </c>
      <c r="I16" s="300"/>
      <c r="J16" s="300"/>
      <c r="K16" s="300">
        <f t="shared" si="8"/>
        <v>0</v>
      </c>
      <c r="L16" s="300"/>
      <c r="M16" s="300"/>
      <c r="N16" s="300">
        <f t="shared" ref="N16:N79" si="14">O16+P16+S16+T16+U16</f>
        <v>87850.051902000007</v>
      </c>
      <c r="O16" s="300"/>
      <c r="P16" s="301">
        <f t="shared" si="12"/>
        <v>87850.051902000007</v>
      </c>
      <c r="Q16" s="300">
        <f>97.695+5649.366979+82102.989923</f>
        <v>87850.051902000007</v>
      </c>
      <c r="R16" s="301"/>
      <c r="S16" s="300"/>
      <c r="T16" s="300"/>
      <c r="U16" s="300">
        <f t="shared" si="9"/>
        <v>0</v>
      </c>
      <c r="V16" s="300"/>
      <c r="W16" s="300"/>
      <c r="X16" s="300"/>
      <c r="Y16" s="300"/>
      <c r="Z16" s="300"/>
      <c r="AA16" s="300"/>
      <c r="AB16" s="302">
        <f t="shared" si="2"/>
        <v>112.65571344558292</v>
      </c>
      <c r="AC16" s="302"/>
      <c r="AD16" s="302">
        <f t="shared" si="3"/>
        <v>112.65571344558292</v>
      </c>
      <c r="AE16" s="302"/>
      <c r="AG16" s="111">
        <f t="shared" si="13"/>
        <v>112035</v>
      </c>
      <c r="AH16" s="126">
        <f t="shared" si="5"/>
        <v>0</v>
      </c>
      <c r="AI16" s="112"/>
    </row>
    <row r="17" spans="1:38" s="127" customFormat="1" ht="24.75" customHeight="1">
      <c r="A17" s="303" t="s">
        <v>247</v>
      </c>
      <c r="B17" s="305" t="s">
        <v>668</v>
      </c>
      <c r="C17" s="300">
        <f t="shared" si="10"/>
        <v>1650</v>
      </c>
      <c r="D17" s="328"/>
      <c r="E17" s="300">
        <f t="shared" si="11"/>
        <v>1650</v>
      </c>
      <c r="F17" s="300">
        <v>350</v>
      </c>
      <c r="G17" s="300"/>
      <c r="H17" s="300">
        <v>1300</v>
      </c>
      <c r="I17" s="300"/>
      <c r="J17" s="300"/>
      <c r="K17" s="300">
        <f t="shared" si="8"/>
        <v>0</v>
      </c>
      <c r="L17" s="300"/>
      <c r="M17" s="300"/>
      <c r="N17" s="300">
        <f t="shared" si="14"/>
        <v>1289.5282099999999</v>
      </c>
      <c r="O17" s="300"/>
      <c r="P17" s="301">
        <f t="shared" si="12"/>
        <v>1289.5282099999999</v>
      </c>
      <c r="Q17" s="300">
        <v>1289.5282099999999</v>
      </c>
      <c r="R17" s="300"/>
      <c r="S17" s="300"/>
      <c r="T17" s="300"/>
      <c r="U17" s="300">
        <f t="shared" si="9"/>
        <v>0</v>
      </c>
      <c r="V17" s="300"/>
      <c r="W17" s="300"/>
      <c r="X17" s="300"/>
      <c r="Y17" s="300"/>
      <c r="Z17" s="300"/>
      <c r="AA17" s="300"/>
      <c r="AB17" s="302">
        <f t="shared" si="2"/>
        <v>78.15322484848484</v>
      </c>
      <c r="AC17" s="302" t="e">
        <f t="shared" si="2"/>
        <v>#DIV/0!</v>
      </c>
      <c r="AD17" s="302">
        <f t="shared" si="3"/>
        <v>78.15322484848484</v>
      </c>
      <c r="AE17" s="302"/>
      <c r="AG17" s="111">
        <f t="shared" si="13"/>
        <v>2000</v>
      </c>
      <c r="AH17" s="126">
        <f t="shared" si="5"/>
        <v>0</v>
      </c>
    </row>
    <row r="18" spans="1:38" s="127" customFormat="1" ht="24.75" customHeight="1">
      <c r="A18" s="298" t="s">
        <v>248</v>
      </c>
      <c r="B18" s="299" t="s">
        <v>267</v>
      </c>
      <c r="C18" s="300">
        <f t="shared" si="10"/>
        <v>6871</v>
      </c>
      <c r="D18" s="300"/>
      <c r="E18" s="300">
        <f t="shared" si="11"/>
        <v>6871</v>
      </c>
      <c r="F18" s="300">
        <v>6871</v>
      </c>
      <c r="G18" s="300"/>
      <c r="H18" s="300"/>
      <c r="I18" s="300"/>
      <c r="J18" s="300"/>
      <c r="K18" s="300">
        <f t="shared" si="8"/>
        <v>0</v>
      </c>
      <c r="L18" s="300"/>
      <c r="M18" s="300"/>
      <c r="N18" s="300">
        <f t="shared" si="14"/>
        <v>7268.9339749999999</v>
      </c>
      <c r="O18" s="300"/>
      <c r="P18" s="301">
        <f t="shared" si="12"/>
        <v>7268.9339749999999</v>
      </c>
      <c r="Q18" s="301">
        <v>7268.9339749999999</v>
      </c>
      <c r="R18" s="300"/>
      <c r="S18" s="300"/>
      <c r="T18" s="300"/>
      <c r="U18" s="300">
        <f t="shared" si="9"/>
        <v>0</v>
      </c>
      <c r="V18" s="300"/>
      <c r="W18" s="300"/>
      <c r="X18" s="300"/>
      <c r="Y18" s="300"/>
      <c r="Z18" s="300"/>
      <c r="AA18" s="300"/>
      <c r="AB18" s="302">
        <f t="shared" si="2"/>
        <v>105.79150014553923</v>
      </c>
      <c r="AC18" s="302" t="e">
        <f t="shared" si="2"/>
        <v>#DIV/0!</v>
      </c>
      <c r="AD18" s="302">
        <f t="shared" si="3"/>
        <v>105.79150014553923</v>
      </c>
      <c r="AE18" s="302"/>
      <c r="AG18" s="111">
        <f t="shared" si="13"/>
        <v>13742</v>
      </c>
      <c r="AH18" s="126">
        <f t="shared" si="5"/>
        <v>0</v>
      </c>
    </row>
    <row r="19" spans="1:38" s="127" customFormat="1" ht="24.75" customHeight="1">
      <c r="A19" s="303" t="s">
        <v>249</v>
      </c>
      <c r="B19" s="305" t="s">
        <v>726</v>
      </c>
      <c r="C19" s="300">
        <f t="shared" si="10"/>
        <v>26696</v>
      </c>
      <c r="D19" s="300"/>
      <c r="E19" s="300">
        <f t="shared" si="11"/>
        <v>26696</v>
      </c>
      <c r="F19" s="300">
        <v>26696</v>
      </c>
      <c r="G19" s="300"/>
      <c r="H19" s="300"/>
      <c r="I19" s="300"/>
      <c r="J19" s="300"/>
      <c r="K19" s="300">
        <f t="shared" si="8"/>
        <v>0</v>
      </c>
      <c r="L19" s="300"/>
      <c r="M19" s="300"/>
      <c r="N19" s="300">
        <f t="shared" si="14"/>
        <v>74067.873856000006</v>
      </c>
      <c r="O19" s="300"/>
      <c r="P19" s="301">
        <f t="shared" si="12"/>
        <v>74067.873856000006</v>
      </c>
      <c r="Q19" s="306">
        <f>1049+67102.828056+3382.069+771.9768+1762</f>
        <v>74067.873856000006</v>
      </c>
      <c r="R19" s="300"/>
      <c r="S19" s="300"/>
      <c r="T19" s="300"/>
      <c r="U19" s="300">
        <f t="shared" si="9"/>
        <v>0</v>
      </c>
      <c r="V19" s="300"/>
      <c r="W19" s="300"/>
      <c r="X19" s="300"/>
      <c r="Y19" s="300"/>
      <c r="Z19" s="300"/>
      <c r="AA19" s="300"/>
      <c r="AB19" s="302">
        <f t="shared" si="2"/>
        <v>277.44933269403663</v>
      </c>
      <c r="AC19" s="302" t="e">
        <f t="shared" si="2"/>
        <v>#DIV/0!</v>
      </c>
      <c r="AD19" s="302">
        <f t="shared" si="3"/>
        <v>277.44933269403663</v>
      </c>
      <c r="AE19" s="302"/>
      <c r="AG19" s="111">
        <f t="shared" si="13"/>
        <v>53392</v>
      </c>
      <c r="AH19" s="126">
        <f t="shared" si="5"/>
        <v>0</v>
      </c>
      <c r="AL19" s="128"/>
    </row>
    <row r="20" spans="1:38" s="127" customFormat="1" ht="24.75" customHeight="1">
      <c r="A20" s="298" t="s">
        <v>250</v>
      </c>
      <c r="B20" s="305" t="s">
        <v>669</v>
      </c>
      <c r="C20" s="300">
        <f t="shared" si="10"/>
        <v>9260</v>
      </c>
      <c r="D20" s="300"/>
      <c r="E20" s="300">
        <f t="shared" si="11"/>
        <v>9260</v>
      </c>
      <c r="F20" s="300">
        <v>9260</v>
      </c>
      <c r="G20" s="300"/>
      <c r="H20" s="300"/>
      <c r="I20" s="300"/>
      <c r="J20" s="300"/>
      <c r="K20" s="300">
        <f t="shared" si="8"/>
        <v>0</v>
      </c>
      <c r="L20" s="300"/>
      <c r="M20" s="300"/>
      <c r="N20" s="300">
        <f t="shared" si="14"/>
        <v>8927.2447800000009</v>
      </c>
      <c r="O20" s="300"/>
      <c r="P20" s="301">
        <f t="shared" si="12"/>
        <v>8783.4415800000006</v>
      </c>
      <c r="Q20" s="300">
        <f>6385.940722-4.8032+2541.304058-139</f>
        <v>8783.4415800000006</v>
      </c>
      <c r="R20" s="300"/>
      <c r="S20" s="300"/>
      <c r="T20" s="300"/>
      <c r="U20" s="300">
        <f t="shared" si="9"/>
        <v>143.8032</v>
      </c>
      <c r="V20" s="300"/>
      <c r="W20" s="300">
        <f>4.8032+139</f>
        <v>143.8032</v>
      </c>
      <c r="X20" s="300"/>
      <c r="Y20" s="300"/>
      <c r="Z20" s="300"/>
      <c r="AA20" s="300"/>
      <c r="AB20" s="302">
        <f t="shared" si="2"/>
        <v>96.406531101511888</v>
      </c>
      <c r="AC20" s="302" t="e">
        <f t="shared" si="2"/>
        <v>#DIV/0!</v>
      </c>
      <c r="AD20" s="302">
        <f t="shared" si="3"/>
        <v>94.853580777537815</v>
      </c>
      <c r="AE20" s="302"/>
      <c r="AG20" s="111">
        <f t="shared" si="13"/>
        <v>18520</v>
      </c>
      <c r="AH20" s="126">
        <f t="shared" si="5"/>
        <v>2.8421709430404007E-13</v>
      </c>
    </row>
    <row r="21" spans="1:38" s="127" customFormat="1" ht="24.75" customHeight="1">
      <c r="A21" s="303" t="s">
        <v>251</v>
      </c>
      <c r="B21" s="305" t="s">
        <v>670</v>
      </c>
      <c r="C21" s="300">
        <f t="shared" si="10"/>
        <v>370255.57199999999</v>
      </c>
      <c r="D21" s="300">
        <v>5367.5720000000001</v>
      </c>
      <c r="E21" s="300">
        <f t="shared" si="11"/>
        <v>364888</v>
      </c>
      <c r="F21" s="300">
        <v>364838</v>
      </c>
      <c r="G21" s="300"/>
      <c r="H21" s="300">
        <v>50</v>
      </c>
      <c r="I21" s="300"/>
      <c r="J21" s="300"/>
      <c r="K21" s="300">
        <f t="shared" si="8"/>
        <v>0</v>
      </c>
      <c r="L21" s="300"/>
      <c r="M21" s="300"/>
      <c r="N21" s="300">
        <f t="shared" si="14"/>
        <v>334793.73229700001</v>
      </c>
      <c r="O21" s="300"/>
      <c r="P21" s="301">
        <f t="shared" si="12"/>
        <v>334743.23229700001</v>
      </c>
      <c r="Q21" s="300">
        <f>10713.922+12120.600554+5692.584+14372.269138+11300.135076+12757.480578+5199.464704+7948.494+12910.5105+6261.2045+11636.0425+18124.454771+11715.235+27600.182539-50.5+14295.685815+17460.661+16547.789+13403.494314+12874.51+8960.192+7101.697+4596.377+10104.880998+12512.059372+9741.9181+9271.110034+4150.043+4431.186+2762.096501+6903.172+11324.280303</f>
        <v>334743.23229700001</v>
      </c>
      <c r="R21" s="300"/>
      <c r="S21" s="300"/>
      <c r="T21" s="300"/>
      <c r="U21" s="300">
        <f t="shared" si="9"/>
        <v>50.5</v>
      </c>
      <c r="V21" s="300"/>
      <c r="W21" s="300">
        <v>50.5</v>
      </c>
      <c r="X21" s="300"/>
      <c r="Y21" s="300"/>
      <c r="Z21" s="300"/>
      <c r="AA21" s="300"/>
      <c r="AB21" s="302">
        <f t="shared" si="2"/>
        <v>90.422334629173392</v>
      </c>
      <c r="AC21" s="302">
        <f t="shared" si="2"/>
        <v>0</v>
      </c>
      <c r="AD21" s="302">
        <f t="shared" si="3"/>
        <v>91.738624536022016</v>
      </c>
      <c r="AE21" s="302"/>
      <c r="AG21" s="111">
        <f t="shared" si="13"/>
        <v>729726</v>
      </c>
      <c r="AH21" s="126">
        <f t="shared" si="5"/>
        <v>0</v>
      </c>
    </row>
    <row r="22" spans="1:38" s="127" customFormat="1" ht="24.75" customHeight="1">
      <c r="A22" s="298" t="s">
        <v>255</v>
      </c>
      <c r="B22" s="305" t="s">
        <v>220</v>
      </c>
      <c r="C22" s="300">
        <f t="shared" si="10"/>
        <v>263176</v>
      </c>
      <c r="D22" s="300">
        <v>2122</v>
      </c>
      <c r="E22" s="300">
        <f t="shared" si="11"/>
        <v>261054</v>
      </c>
      <c r="F22" s="300">
        <v>261054</v>
      </c>
      <c r="G22" s="300"/>
      <c r="H22" s="300"/>
      <c r="I22" s="300"/>
      <c r="J22" s="300"/>
      <c r="K22" s="300">
        <f t="shared" si="8"/>
        <v>0</v>
      </c>
      <c r="L22" s="300"/>
      <c r="M22" s="300"/>
      <c r="N22" s="300">
        <f t="shared" si="14"/>
        <v>304416.57309900003</v>
      </c>
      <c r="O22" s="300"/>
      <c r="P22" s="301">
        <f t="shared" si="12"/>
        <v>301266.07205800002</v>
      </c>
      <c r="Q22" s="300">
        <f>198+2603.52+1112.068+20740.292406-321.865+20584.665621-50.59314+3481.789645+18240.537906-190.437432+26033.748354-201.071408+20088.265514-285.510336+24445.685206-134.863108+19995.23765-246.309163+36147.293865-765.86423+14481.758605-176.5485+15639.058472-153.339804+20640.4578-271.919+2751.79-264.89+16362.583432+2182.316193+12902.660257+9133.787-87.28992+2257.9+500+3479.640435</f>
        <v>290852.55532000004</v>
      </c>
      <c r="R22" s="300">
        <v>10413.516738</v>
      </c>
      <c r="S22" s="300"/>
      <c r="T22" s="300"/>
      <c r="U22" s="300">
        <f t="shared" si="9"/>
        <v>3150.501041</v>
      </c>
      <c r="V22" s="300"/>
      <c r="W22" s="300">
        <f>321.865+50.59314+190.437432+201.071408+285.510336+134.863108+246.309163+765.86423+176.5485+153.339804+271.919+264.89+87.28992</f>
        <v>3150.501041</v>
      </c>
      <c r="X22" s="300"/>
      <c r="Y22" s="300"/>
      <c r="Z22" s="300"/>
      <c r="AA22" s="300"/>
      <c r="AB22" s="302">
        <f t="shared" si="2"/>
        <v>115.67033965825152</v>
      </c>
      <c r="AC22" s="302">
        <f t="shared" si="2"/>
        <v>0</v>
      </c>
      <c r="AD22" s="302">
        <f t="shared" si="3"/>
        <v>115.40373718004705</v>
      </c>
      <c r="AE22" s="302"/>
      <c r="AG22" s="111">
        <f t="shared" si="13"/>
        <v>522108</v>
      </c>
      <c r="AH22" s="126">
        <f t="shared" si="5"/>
        <v>1.0459189070388675E-11</v>
      </c>
    </row>
    <row r="23" spans="1:38" s="127" customFormat="1" ht="24.75" customHeight="1">
      <c r="A23" s="303" t="s">
        <v>256</v>
      </c>
      <c r="B23" s="305" t="s">
        <v>722</v>
      </c>
      <c r="C23" s="300">
        <f t="shared" si="10"/>
        <v>81625</v>
      </c>
      <c r="D23" s="300">
        <v>28000</v>
      </c>
      <c r="E23" s="300">
        <f t="shared" si="11"/>
        <v>53625</v>
      </c>
      <c r="F23" s="300">
        <v>53575</v>
      </c>
      <c r="G23" s="300"/>
      <c r="H23" s="300">
        <v>50</v>
      </c>
      <c r="I23" s="300"/>
      <c r="J23" s="300"/>
      <c r="K23" s="300">
        <f t="shared" si="8"/>
        <v>0</v>
      </c>
      <c r="L23" s="300"/>
      <c r="M23" s="300"/>
      <c r="N23" s="300">
        <f t="shared" si="14"/>
        <v>56284.654300000009</v>
      </c>
      <c r="O23" s="300"/>
      <c r="P23" s="301">
        <f t="shared" si="12"/>
        <v>54321.116750000008</v>
      </c>
      <c r="Q23" s="300">
        <f>2810+7328.340291-442.99295+15900.7609-976.231+11008.47+17048.440909-394.3844+2188.6422-149.9292</f>
        <v>54321.116750000008</v>
      </c>
      <c r="R23" s="300"/>
      <c r="S23" s="300"/>
      <c r="T23" s="300"/>
      <c r="U23" s="300">
        <f t="shared" si="9"/>
        <v>1963.53755</v>
      </c>
      <c r="V23" s="300"/>
      <c r="W23" s="300">
        <f>442.99295+976.231+394.3844+149.9292</f>
        <v>1963.53755</v>
      </c>
      <c r="X23" s="300"/>
      <c r="Y23" s="300"/>
      <c r="Z23" s="300"/>
      <c r="AA23" s="300"/>
      <c r="AB23" s="302">
        <f t="shared" si="2"/>
        <v>68.955166064318547</v>
      </c>
      <c r="AC23" s="302"/>
      <c r="AD23" s="302">
        <f t="shared" si="3"/>
        <v>101.29811981351983</v>
      </c>
      <c r="AE23" s="302"/>
      <c r="AG23" s="111">
        <f t="shared" si="13"/>
        <v>107200</v>
      </c>
      <c r="AH23" s="126">
        <f t="shared" si="5"/>
        <v>0</v>
      </c>
    </row>
    <row r="24" spans="1:38" s="127" customFormat="1" ht="24" customHeight="1">
      <c r="A24" s="298" t="s">
        <v>257</v>
      </c>
      <c r="B24" s="305" t="s">
        <v>671</v>
      </c>
      <c r="C24" s="300">
        <f t="shared" si="10"/>
        <v>294068</v>
      </c>
      <c r="D24" s="300"/>
      <c r="E24" s="300">
        <f t="shared" si="11"/>
        <v>294068</v>
      </c>
      <c r="F24" s="300">
        <v>294068</v>
      </c>
      <c r="G24" s="300"/>
      <c r="H24" s="300"/>
      <c r="I24" s="300"/>
      <c r="J24" s="300"/>
      <c r="K24" s="300">
        <f t="shared" si="8"/>
        <v>0</v>
      </c>
      <c r="L24" s="300"/>
      <c r="M24" s="300"/>
      <c r="N24" s="300">
        <f t="shared" si="14"/>
        <v>267001.22110900003</v>
      </c>
      <c r="O24" s="300"/>
      <c r="P24" s="301">
        <f t="shared" si="12"/>
        <v>266266.31071300001</v>
      </c>
      <c r="Q24" s="300">
        <f>1850.831817-244.28691+9915.056598+13411.685061-490.623486</f>
        <v>24442.663079999998</v>
      </c>
      <c r="R24" s="300">
        <v>241823.64763299999</v>
      </c>
      <c r="S24" s="300"/>
      <c r="T24" s="300"/>
      <c r="U24" s="300">
        <f t="shared" si="9"/>
        <v>734.91039599999999</v>
      </c>
      <c r="V24" s="300"/>
      <c r="W24" s="300">
        <f>244.28691+490.623486</f>
        <v>734.91039599999999</v>
      </c>
      <c r="X24" s="300"/>
      <c r="Y24" s="300"/>
      <c r="Z24" s="300"/>
      <c r="AA24" s="300"/>
      <c r="AB24" s="302">
        <f t="shared" si="2"/>
        <v>90.795741498224913</v>
      </c>
      <c r="AC24" s="302" t="e">
        <f t="shared" si="2"/>
        <v>#DIV/0!</v>
      </c>
      <c r="AD24" s="302">
        <f t="shared" si="3"/>
        <v>90.54582977848662</v>
      </c>
      <c r="AE24" s="302"/>
      <c r="AG24" s="111">
        <f t="shared" si="13"/>
        <v>588136</v>
      </c>
      <c r="AH24" s="126">
        <f t="shared" si="5"/>
        <v>2.1145751816220582E-11</v>
      </c>
    </row>
    <row r="25" spans="1:38" s="127" customFormat="1" ht="24.75" customHeight="1">
      <c r="A25" s="303" t="s">
        <v>258</v>
      </c>
      <c r="B25" s="305" t="s">
        <v>672</v>
      </c>
      <c r="C25" s="300">
        <f t="shared" si="10"/>
        <v>9522</v>
      </c>
      <c r="D25" s="300"/>
      <c r="E25" s="300">
        <f t="shared" si="11"/>
        <v>9522</v>
      </c>
      <c r="F25" s="300">
        <v>9482</v>
      </c>
      <c r="G25" s="300"/>
      <c r="H25" s="300">
        <v>40</v>
      </c>
      <c r="I25" s="300"/>
      <c r="J25" s="300"/>
      <c r="K25" s="300">
        <f t="shared" si="8"/>
        <v>0</v>
      </c>
      <c r="L25" s="300"/>
      <c r="M25" s="300"/>
      <c r="N25" s="300">
        <f t="shared" si="14"/>
        <v>9034.2178640000002</v>
      </c>
      <c r="O25" s="300"/>
      <c r="P25" s="301">
        <f t="shared" si="12"/>
        <v>9010.2178640000002</v>
      </c>
      <c r="Q25" s="300">
        <f>1608-24+6851.817864+574.4</f>
        <v>9010.2178640000002</v>
      </c>
      <c r="R25" s="300"/>
      <c r="S25" s="300"/>
      <c r="T25" s="300"/>
      <c r="U25" s="300">
        <f t="shared" si="9"/>
        <v>24</v>
      </c>
      <c r="V25" s="300"/>
      <c r="W25" s="300">
        <v>24</v>
      </c>
      <c r="X25" s="300"/>
      <c r="Y25" s="300"/>
      <c r="Z25" s="300"/>
      <c r="AA25" s="300"/>
      <c r="AB25" s="302">
        <f t="shared" si="2"/>
        <v>94.877314261709728</v>
      </c>
      <c r="AC25" s="302" t="e">
        <f t="shared" si="2"/>
        <v>#DIV/0!</v>
      </c>
      <c r="AD25" s="302">
        <f t="shared" si="3"/>
        <v>94.625266372610795</v>
      </c>
      <c r="AE25" s="302"/>
      <c r="AG25" s="111">
        <f t="shared" si="13"/>
        <v>19004</v>
      </c>
      <c r="AH25" s="126">
        <f t="shared" si="5"/>
        <v>0</v>
      </c>
    </row>
    <row r="26" spans="1:38" s="127" customFormat="1" ht="24.75" customHeight="1">
      <c r="A26" s="298" t="s">
        <v>259</v>
      </c>
      <c r="B26" s="305" t="s">
        <v>673</v>
      </c>
      <c r="C26" s="300">
        <f t="shared" si="10"/>
        <v>152024</v>
      </c>
      <c r="D26" s="300">
        <v>75000</v>
      </c>
      <c r="E26" s="300">
        <f t="shared" si="11"/>
        <v>77024</v>
      </c>
      <c r="F26" s="300">
        <v>76969</v>
      </c>
      <c r="G26" s="300"/>
      <c r="H26" s="300">
        <v>55</v>
      </c>
      <c r="I26" s="300"/>
      <c r="J26" s="300"/>
      <c r="K26" s="300">
        <f t="shared" si="8"/>
        <v>0</v>
      </c>
      <c r="L26" s="300"/>
      <c r="M26" s="300"/>
      <c r="N26" s="300">
        <f t="shared" si="14"/>
        <v>66660.922210999997</v>
      </c>
      <c r="O26" s="300"/>
      <c r="P26" s="301">
        <f t="shared" si="12"/>
        <v>66652.922210999997</v>
      </c>
      <c r="Q26" s="300"/>
      <c r="R26" s="300">
        <f>66660.922211-8</f>
        <v>66652.922210999997</v>
      </c>
      <c r="S26" s="300"/>
      <c r="T26" s="300"/>
      <c r="U26" s="300">
        <f t="shared" si="9"/>
        <v>8</v>
      </c>
      <c r="V26" s="300"/>
      <c r="W26" s="300">
        <v>8</v>
      </c>
      <c r="X26" s="300"/>
      <c r="Y26" s="300"/>
      <c r="Z26" s="300"/>
      <c r="AA26" s="300"/>
      <c r="AB26" s="302">
        <f t="shared" si="2"/>
        <v>43.848946357811926</v>
      </c>
      <c r="AC26" s="302">
        <f t="shared" si="2"/>
        <v>0</v>
      </c>
      <c r="AD26" s="302">
        <f t="shared" si="3"/>
        <v>86.535264607135431</v>
      </c>
      <c r="AE26" s="302"/>
      <c r="AG26" s="111">
        <f t="shared" si="13"/>
        <v>153993</v>
      </c>
      <c r="AH26" s="126">
        <f t="shared" si="5"/>
        <v>0</v>
      </c>
    </row>
    <row r="27" spans="1:38" s="127" customFormat="1" ht="24.75" customHeight="1">
      <c r="A27" s="303" t="s">
        <v>260</v>
      </c>
      <c r="B27" s="305" t="s">
        <v>674</v>
      </c>
      <c r="C27" s="300">
        <f t="shared" si="10"/>
        <v>33333</v>
      </c>
      <c r="D27" s="300">
        <v>12900</v>
      </c>
      <c r="E27" s="300">
        <f t="shared" si="11"/>
        <v>20433</v>
      </c>
      <c r="F27" s="300">
        <v>19433</v>
      </c>
      <c r="G27" s="300"/>
      <c r="H27" s="300">
        <v>1000</v>
      </c>
      <c r="I27" s="300"/>
      <c r="J27" s="300"/>
      <c r="K27" s="300">
        <f t="shared" si="8"/>
        <v>0</v>
      </c>
      <c r="L27" s="300"/>
      <c r="M27" s="300"/>
      <c r="N27" s="300">
        <f t="shared" si="14"/>
        <v>15122.050561</v>
      </c>
      <c r="O27" s="300"/>
      <c r="P27" s="301">
        <f t="shared" si="12"/>
        <v>15122.050561</v>
      </c>
      <c r="Q27" s="300">
        <f>13067.136933+2054.913628</f>
        <v>15122.050561</v>
      </c>
      <c r="R27" s="300"/>
      <c r="S27" s="300"/>
      <c r="T27" s="300"/>
      <c r="U27" s="300">
        <f t="shared" si="9"/>
        <v>0</v>
      </c>
      <c r="V27" s="300"/>
      <c r="W27" s="300"/>
      <c r="X27" s="300"/>
      <c r="Y27" s="300"/>
      <c r="Z27" s="300"/>
      <c r="AA27" s="300"/>
      <c r="AB27" s="302">
        <f t="shared" ref="AB27:AC77" si="15">N27/C27%</f>
        <v>45.366605349053494</v>
      </c>
      <c r="AC27" s="302"/>
      <c r="AD27" s="302">
        <f t="shared" si="3"/>
        <v>74.007980037194727</v>
      </c>
      <c r="AE27" s="302"/>
      <c r="AG27" s="111">
        <f t="shared" si="13"/>
        <v>39866</v>
      </c>
      <c r="AH27" s="126">
        <f t="shared" si="5"/>
        <v>0</v>
      </c>
    </row>
    <row r="28" spans="1:38" s="127" customFormat="1" ht="24.75" customHeight="1">
      <c r="A28" s="298" t="s">
        <v>261</v>
      </c>
      <c r="B28" s="305" t="s">
        <v>675</v>
      </c>
      <c r="C28" s="300">
        <f t="shared" si="10"/>
        <v>11634</v>
      </c>
      <c r="D28" s="300"/>
      <c r="E28" s="300">
        <f t="shared" si="11"/>
        <v>11634</v>
      </c>
      <c r="F28" s="300">
        <v>11504</v>
      </c>
      <c r="G28" s="300"/>
      <c r="H28" s="300">
        <v>130</v>
      </c>
      <c r="I28" s="300"/>
      <c r="J28" s="300"/>
      <c r="K28" s="300">
        <f t="shared" si="8"/>
        <v>0</v>
      </c>
      <c r="L28" s="300"/>
      <c r="M28" s="300"/>
      <c r="N28" s="300">
        <f t="shared" si="14"/>
        <v>8632.8559999999998</v>
      </c>
      <c r="O28" s="300"/>
      <c r="P28" s="301">
        <f t="shared" si="12"/>
        <v>8608.8559999999998</v>
      </c>
      <c r="Q28" s="300">
        <f>7389.856-24+335+248+660</f>
        <v>8608.8559999999998</v>
      </c>
      <c r="R28" s="300"/>
      <c r="S28" s="300"/>
      <c r="T28" s="300"/>
      <c r="U28" s="300">
        <f t="shared" si="9"/>
        <v>24</v>
      </c>
      <c r="V28" s="300"/>
      <c r="W28" s="300">
        <v>24</v>
      </c>
      <c r="X28" s="300"/>
      <c r="Y28" s="300"/>
      <c r="Z28" s="300"/>
      <c r="AA28" s="300"/>
      <c r="AB28" s="302">
        <f t="shared" si="15"/>
        <v>74.203678872270928</v>
      </c>
      <c r="AC28" s="302" t="e">
        <f t="shared" si="15"/>
        <v>#DIV/0!</v>
      </c>
      <c r="AD28" s="302">
        <f t="shared" si="3"/>
        <v>73.997386969228117</v>
      </c>
      <c r="AE28" s="302"/>
      <c r="AG28" s="111">
        <f t="shared" si="13"/>
        <v>23138</v>
      </c>
      <c r="AH28" s="126">
        <f t="shared" si="5"/>
        <v>0</v>
      </c>
    </row>
    <row r="29" spans="1:38" s="127" customFormat="1" ht="24.75" customHeight="1">
      <c r="A29" s="303" t="s">
        <v>269</v>
      </c>
      <c r="B29" s="305" t="s">
        <v>289</v>
      </c>
      <c r="C29" s="300">
        <f t="shared" si="10"/>
        <v>18363</v>
      </c>
      <c r="D29" s="300"/>
      <c r="E29" s="300">
        <f t="shared" si="11"/>
        <v>18363</v>
      </c>
      <c r="F29" s="300">
        <v>18323</v>
      </c>
      <c r="G29" s="300"/>
      <c r="H29" s="300">
        <v>40</v>
      </c>
      <c r="I29" s="300"/>
      <c r="J29" s="300"/>
      <c r="K29" s="300">
        <f t="shared" si="8"/>
        <v>0</v>
      </c>
      <c r="L29" s="300"/>
      <c r="M29" s="300"/>
      <c r="N29" s="300">
        <f t="shared" si="14"/>
        <v>24076.636032000002</v>
      </c>
      <c r="O29" s="300"/>
      <c r="P29" s="301">
        <f t="shared" si="12"/>
        <v>23680.219832000002</v>
      </c>
      <c r="Q29" s="301">
        <f>22875.936032-396.4162+1200.7</f>
        <v>23680.219832000002</v>
      </c>
      <c r="R29" s="300"/>
      <c r="S29" s="300"/>
      <c r="T29" s="300"/>
      <c r="U29" s="300">
        <f t="shared" si="9"/>
        <v>396.4162</v>
      </c>
      <c r="V29" s="300"/>
      <c r="W29" s="300">
        <v>396.4162</v>
      </c>
      <c r="X29" s="300"/>
      <c r="Y29" s="300"/>
      <c r="Z29" s="300"/>
      <c r="AA29" s="300"/>
      <c r="AB29" s="302">
        <f t="shared" si="15"/>
        <v>131.11493782061757</v>
      </c>
      <c r="AC29" s="302" t="e">
        <f t="shared" si="15"/>
        <v>#DIV/0!</v>
      </c>
      <c r="AD29" s="302">
        <f t="shared" si="3"/>
        <v>128.95616093230956</v>
      </c>
      <c r="AE29" s="302"/>
      <c r="AG29" s="111">
        <f t="shared" si="13"/>
        <v>36686</v>
      </c>
      <c r="AH29" s="126">
        <f t="shared" si="5"/>
        <v>0</v>
      </c>
    </row>
    <row r="30" spans="1:38" s="127" customFormat="1" ht="24.75" customHeight="1">
      <c r="A30" s="298" t="s">
        <v>270</v>
      </c>
      <c r="B30" s="305" t="s">
        <v>676</v>
      </c>
      <c r="C30" s="300">
        <f t="shared" si="10"/>
        <v>31110</v>
      </c>
      <c r="D30" s="300">
        <v>17650</v>
      </c>
      <c r="E30" s="300">
        <f t="shared" si="11"/>
        <v>13460</v>
      </c>
      <c r="F30" s="300">
        <v>13460</v>
      </c>
      <c r="G30" s="300"/>
      <c r="H30" s="300"/>
      <c r="I30" s="300"/>
      <c r="J30" s="300"/>
      <c r="K30" s="300">
        <f t="shared" si="8"/>
        <v>0</v>
      </c>
      <c r="L30" s="300"/>
      <c r="M30" s="300"/>
      <c r="N30" s="300">
        <f t="shared" si="14"/>
        <v>13084.439962999999</v>
      </c>
      <c r="O30" s="300"/>
      <c r="P30" s="301">
        <f t="shared" si="12"/>
        <v>13084.439962999999</v>
      </c>
      <c r="Q30" s="300">
        <f>11842.721+1241.718963</f>
        <v>13084.439962999999</v>
      </c>
      <c r="R30" s="300"/>
      <c r="S30" s="300"/>
      <c r="T30" s="300"/>
      <c r="U30" s="300">
        <f t="shared" si="9"/>
        <v>0</v>
      </c>
      <c r="V30" s="300"/>
      <c r="W30" s="300"/>
      <c r="X30" s="300"/>
      <c r="Y30" s="300"/>
      <c r="Z30" s="300"/>
      <c r="AA30" s="300"/>
      <c r="AB30" s="302">
        <f t="shared" si="15"/>
        <v>42.058630546448079</v>
      </c>
      <c r="AC30" s="302">
        <f t="shared" si="15"/>
        <v>0</v>
      </c>
      <c r="AD30" s="302">
        <f t="shared" si="3"/>
        <v>97.209806560178308</v>
      </c>
      <c r="AE30" s="302"/>
      <c r="AG30" s="111">
        <f t="shared" si="13"/>
        <v>26920</v>
      </c>
      <c r="AH30" s="126">
        <f t="shared" si="5"/>
        <v>0</v>
      </c>
    </row>
    <row r="31" spans="1:38" s="127" customFormat="1" ht="24.75" customHeight="1">
      <c r="A31" s="303" t="s">
        <v>400</v>
      </c>
      <c r="B31" s="305" t="s">
        <v>227</v>
      </c>
      <c r="C31" s="300">
        <f t="shared" si="10"/>
        <v>23996</v>
      </c>
      <c r="D31" s="300">
        <v>10000</v>
      </c>
      <c r="E31" s="300">
        <f t="shared" si="11"/>
        <v>13996</v>
      </c>
      <c r="F31" s="300">
        <v>13996</v>
      </c>
      <c r="G31" s="300"/>
      <c r="H31" s="300"/>
      <c r="I31" s="300"/>
      <c r="J31" s="300"/>
      <c r="K31" s="300">
        <f t="shared" si="8"/>
        <v>0</v>
      </c>
      <c r="L31" s="300"/>
      <c r="M31" s="300"/>
      <c r="N31" s="300">
        <f t="shared" si="14"/>
        <v>20871.864169999997</v>
      </c>
      <c r="O31" s="300"/>
      <c r="P31" s="301">
        <f t="shared" si="12"/>
        <v>20484.768169999996</v>
      </c>
      <c r="Q31" s="300">
        <f>18111.218199-387.096+2760.645971</f>
        <v>20484.768169999996</v>
      </c>
      <c r="R31" s="300"/>
      <c r="S31" s="300"/>
      <c r="T31" s="300"/>
      <c r="U31" s="300">
        <f t="shared" si="9"/>
        <v>387.096</v>
      </c>
      <c r="V31" s="300"/>
      <c r="W31" s="300">
        <v>387.096</v>
      </c>
      <c r="X31" s="300"/>
      <c r="Y31" s="300"/>
      <c r="Z31" s="300"/>
      <c r="AA31" s="300"/>
      <c r="AB31" s="302">
        <f t="shared" si="15"/>
        <v>86.980597474579085</v>
      </c>
      <c r="AC31" s="302"/>
      <c r="AD31" s="302">
        <f t="shared" si="3"/>
        <v>146.36159024006855</v>
      </c>
      <c r="AE31" s="302"/>
      <c r="AG31" s="111">
        <f t="shared" si="13"/>
        <v>27992</v>
      </c>
      <c r="AH31" s="126">
        <f t="shared" si="5"/>
        <v>1.3642420526593924E-12</v>
      </c>
    </row>
    <row r="32" spans="1:38" s="127" customFormat="1" ht="24.75" customHeight="1">
      <c r="A32" s="298" t="s">
        <v>401</v>
      </c>
      <c r="B32" s="305" t="s">
        <v>677</v>
      </c>
      <c r="C32" s="300">
        <f t="shared" si="10"/>
        <v>10774</v>
      </c>
      <c r="D32" s="300"/>
      <c r="E32" s="300">
        <f t="shared" si="11"/>
        <v>10774</v>
      </c>
      <c r="F32" s="300">
        <v>10774</v>
      </c>
      <c r="G32" s="300"/>
      <c r="H32" s="300"/>
      <c r="I32" s="300"/>
      <c r="J32" s="300"/>
      <c r="K32" s="300">
        <f t="shared" si="8"/>
        <v>0</v>
      </c>
      <c r="L32" s="300"/>
      <c r="M32" s="300"/>
      <c r="N32" s="300">
        <f t="shared" si="14"/>
        <v>14867.601768</v>
      </c>
      <c r="O32" s="300"/>
      <c r="P32" s="301">
        <f t="shared" si="12"/>
        <v>9797.2457800000011</v>
      </c>
      <c r="Q32" s="300">
        <f>14867.601768-5070.355988</f>
        <v>9797.2457800000011</v>
      </c>
      <c r="R32" s="300"/>
      <c r="S32" s="300"/>
      <c r="T32" s="300"/>
      <c r="U32" s="300">
        <f t="shared" si="9"/>
        <v>5070.3559880000003</v>
      </c>
      <c r="V32" s="300"/>
      <c r="W32" s="300">
        <v>5070.3559880000003</v>
      </c>
      <c r="X32" s="300"/>
      <c r="Y32" s="300"/>
      <c r="Z32" s="300"/>
      <c r="AA32" s="300"/>
      <c r="AB32" s="302">
        <f t="shared" si="15"/>
        <v>137.99518997586785</v>
      </c>
      <c r="AC32" s="302"/>
      <c r="AD32" s="302">
        <f t="shared" si="3"/>
        <v>90.934154260256193</v>
      </c>
      <c r="AE32" s="302"/>
      <c r="AG32" s="111">
        <f t="shared" si="13"/>
        <v>21548</v>
      </c>
      <c r="AH32" s="126">
        <f t="shared" si="5"/>
        <v>0</v>
      </c>
    </row>
    <row r="33" spans="1:34" s="127" customFormat="1" ht="24.75" customHeight="1">
      <c r="A33" s="303" t="s">
        <v>402</v>
      </c>
      <c r="B33" s="305" t="s">
        <v>678</v>
      </c>
      <c r="C33" s="300">
        <f t="shared" si="10"/>
        <v>36908</v>
      </c>
      <c r="D33" s="300"/>
      <c r="E33" s="300">
        <f t="shared" si="11"/>
        <v>36908</v>
      </c>
      <c r="F33" s="300">
        <v>36908</v>
      </c>
      <c r="G33" s="300"/>
      <c r="H33" s="300"/>
      <c r="I33" s="300"/>
      <c r="J33" s="300"/>
      <c r="K33" s="300">
        <f t="shared" si="8"/>
        <v>0</v>
      </c>
      <c r="L33" s="300"/>
      <c r="M33" s="300"/>
      <c r="N33" s="300">
        <f t="shared" si="14"/>
        <v>47834.871718000002</v>
      </c>
      <c r="O33" s="300"/>
      <c r="P33" s="301">
        <f t="shared" si="12"/>
        <v>39855.344286</v>
      </c>
      <c r="Q33" s="300">
        <f>47834.871718-7979.527432</f>
        <v>39855.344286</v>
      </c>
      <c r="R33" s="300"/>
      <c r="S33" s="300"/>
      <c r="T33" s="300"/>
      <c r="U33" s="300">
        <f t="shared" si="9"/>
        <v>7979.5274319999999</v>
      </c>
      <c r="V33" s="300"/>
      <c r="W33" s="300">
        <v>7979.5274319999999</v>
      </c>
      <c r="X33" s="300"/>
      <c r="Y33" s="300"/>
      <c r="Z33" s="300"/>
      <c r="AA33" s="300"/>
      <c r="AB33" s="302">
        <f t="shared" si="15"/>
        <v>129.60569989704129</v>
      </c>
      <c r="AC33" s="302"/>
      <c r="AD33" s="302">
        <f t="shared" si="3"/>
        <v>107.98565158231278</v>
      </c>
      <c r="AE33" s="302"/>
      <c r="AG33" s="111">
        <f t="shared" si="13"/>
        <v>73816</v>
      </c>
      <c r="AH33" s="126">
        <f t="shared" si="5"/>
        <v>0</v>
      </c>
    </row>
    <row r="34" spans="1:34" s="127" customFormat="1" ht="24.75" customHeight="1">
      <c r="A34" s="298" t="s">
        <v>403</v>
      </c>
      <c r="B34" s="305" t="s">
        <v>679</v>
      </c>
      <c r="C34" s="300">
        <f t="shared" si="10"/>
        <v>8884</v>
      </c>
      <c r="D34" s="300"/>
      <c r="E34" s="300">
        <f t="shared" si="11"/>
        <v>8884</v>
      </c>
      <c r="F34" s="300">
        <v>8884</v>
      </c>
      <c r="G34" s="300"/>
      <c r="H34" s="300"/>
      <c r="I34" s="300"/>
      <c r="J34" s="300"/>
      <c r="K34" s="300">
        <f t="shared" si="8"/>
        <v>0</v>
      </c>
      <c r="L34" s="300"/>
      <c r="M34" s="300"/>
      <c r="N34" s="300">
        <f t="shared" si="14"/>
        <v>8446.2631810000003</v>
      </c>
      <c r="O34" s="300"/>
      <c r="P34" s="301">
        <f t="shared" si="12"/>
        <v>8446.2631810000003</v>
      </c>
      <c r="Q34" s="300">
        <v>8446.2631810000003</v>
      </c>
      <c r="R34" s="300"/>
      <c r="S34" s="300"/>
      <c r="T34" s="300"/>
      <c r="U34" s="300">
        <f t="shared" si="9"/>
        <v>0</v>
      </c>
      <c r="V34" s="300"/>
      <c r="W34" s="300"/>
      <c r="X34" s="300"/>
      <c r="Y34" s="300"/>
      <c r="Z34" s="300"/>
      <c r="AA34" s="300"/>
      <c r="AB34" s="302">
        <f t="shared" si="15"/>
        <v>95.072750799189549</v>
      </c>
      <c r="AC34" s="302"/>
      <c r="AD34" s="302">
        <f t="shared" si="3"/>
        <v>95.072750799189549</v>
      </c>
      <c r="AE34" s="302"/>
      <c r="AG34" s="111">
        <f t="shared" si="13"/>
        <v>17768</v>
      </c>
      <c r="AH34" s="126">
        <f t="shared" si="5"/>
        <v>0</v>
      </c>
    </row>
    <row r="35" spans="1:34" s="127" customFormat="1" ht="24.75" customHeight="1">
      <c r="A35" s="303" t="s">
        <v>404</v>
      </c>
      <c r="B35" s="305" t="s">
        <v>680</v>
      </c>
      <c r="C35" s="300">
        <f t="shared" si="10"/>
        <v>18406</v>
      </c>
      <c r="D35" s="300"/>
      <c r="E35" s="300">
        <f t="shared" si="11"/>
        <v>18406</v>
      </c>
      <c r="F35" s="300">
        <v>18336</v>
      </c>
      <c r="G35" s="300"/>
      <c r="H35" s="300">
        <v>70</v>
      </c>
      <c r="I35" s="300"/>
      <c r="J35" s="300"/>
      <c r="K35" s="300">
        <f t="shared" si="8"/>
        <v>0</v>
      </c>
      <c r="L35" s="300"/>
      <c r="M35" s="300"/>
      <c r="N35" s="300">
        <f t="shared" si="14"/>
        <v>17969.571582</v>
      </c>
      <c r="O35" s="300"/>
      <c r="P35" s="301">
        <f t="shared" si="12"/>
        <v>17969.571582</v>
      </c>
      <c r="Q35" s="300">
        <v>17969.571582</v>
      </c>
      <c r="R35" s="300"/>
      <c r="S35" s="300"/>
      <c r="T35" s="300"/>
      <c r="U35" s="300"/>
      <c r="V35" s="300"/>
      <c r="W35" s="300"/>
      <c r="X35" s="300"/>
      <c r="Y35" s="300"/>
      <c r="Z35" s="300"/>
      <c r="AA35" s="300"/>
      <c r="AB35" s="302">
        <f t="shared" si="15"/>
        <v>97.628879615342825</v>
      </c>
      <c r="AC35" s="302" t="e">
        <f t="shared" si="15"/>
        <v>#DIV/0!</v>
      </c>
      <c r="AD35" s="302">
        <f t="shared" si="3"/>
        <v>97.628879615342825</v>
      </c>
      <c r="AE35" s="302"/>
      <c r="AG35" s="111">
        <f t="shared" si="13"/>
        <v>36742</v>
      </c>
      <c r="AH35" s="126">
        <f t="shared" si="5"/>
        <v>0</v>
      </c>
    </row>
    <row r="36" spans="1:34" s="127" customFormat="1" ht="24.75" customHeight="1">
      <c r="A36" s="298" t="s">
        <v>405</v>
      </c>
      <c r="B36" s="305" t="s">
        <v>681</v>
      </c>
      <c r="C36" s="300">
        <f t="shared" si="10"/>
        <v>4829</v>
      </c>
      <c r="D36" s="300"/>
      <c r="E36" s="300">
        <f t="shared" si="11"/>
        <v>4829</v>
      </c>
      <c r="F36" s="300">
        <v>4829</v>
      </c>
      <c r="G36" s="300"/>
      <c r="H36" s="300"/>
      <c r="I36" s="300"/>
      <c r="J36" s="300"/>
      <c r="K36" s="300">
        <f t="shared" si="8"/>
        <v>0</v>
      </c>
      <c r="L36" s="300"/>
      <c r="M36" s="300"/>
      <c r="N36" s="300">
        <f t="shared" si="14"/>
        <v>4305</v>
      </c>
      <c r="O36" s="300"/>
      <c r="P36" s="301">
        <f t="shared" si="12"/>
        <v>4305</v>
      </c>
      <c r="Q36" s="300">
        <v>4305</v>
      </c>
      <c r="R36" s="300"/>
      <c r="S36" s="300"/>
      <c r="T36" s="300"/>
      <c r="U36" s="300">
        <f>V36+W36</f>
        <v>0</v>
      </c>
      <c r="V36" s="300"/>
      <c r="W36" s="300"/>
      <c r="X36" s="300"/>
      <c r="Y36" s="300"/>
      <c r="Z36" s="300"/>
      <c r="AA36" s="300"/>
      <c r="AB36" s="302">
        <f t="shared" si="15"/>
        <v>89.148892110167736</v>
      </c>
      <c r="AC36" s="302"/>
      <c r="AD36" s="302">
        <f t="shared" si="3"/>
        <v>89.148892110167736</v>
      </c>
      <c r="AE36" s="302"/>
      <c r="AG36" s="111">
        <f t="shared" si="13"/>
        <v>9658</v>
      </c>
      <c r="AH36" s="126">
        <f t="shared" si="5"/>
        <v>0</v>
      </c>
    </row>
    <row r="37" spans="1:34" s="127" customFormat="1" ht="24.75" customHeight="1">
      <c r="A37" s="303" t="s">
        <v>406</v>
      </c>
      <c r="B37" s="305" t="s">
        <v>228</v>
      </c>
      <c r="C37" s="300">
        <f t="shared" si="10"/>
        <v>6698</v>
      </c>
      <c r="D37" s="300"/>
      <c r="E37" s="300">
        <f t="shared" si="11"/>
        <v>6698</v>
      </c>
      <c r="F37" s="300">
        <v>6698</v>
      </c>
      <c r="G37" s="300"/>
      <c r="H37" s="300"/>
      <c r="I37" s="300"/>
      <c r="J37" s="300"/>
      <c r="K37" s="300">
        <f t="shared" si="8"/>
        <v>0</v>
      </c>
      <c r="L37" s="300"/>
      <c r="M37" s="300"/>
      <c r="N37" s="300">
        <f t="shared" si="14"/>
        <v>10431.484918</v>
      </c>
      <c r="O37" s="300"/>
      <c r="P37" s="301">
        <f t="shared" si="12"/>
        <v>6639.6764679999997</v>
      </c>
      <c r="Q37" s="300">
        <f>10431.484918-3791.80845</f>
        <v>6639.6764679999997</v>
      </c>
      <c r="R37" s="300"/>
      <c r="S37" s="300"/>
      <c r="T37" s="300"/>
      <c r="U37" s="300">
        <f>V37+W37</f>
        <v>3791.80845</v>
      </c>
      <c r="V37" s="300"/>
      <c r="W37" s="300">
        <v>3791.80845</v>
      </c>
      <c r="X37" s="300"/>
      <c r="Y37" s="300"/>
      <c r="Z37" s="300"/>
      <c r="AA37" s="300"/>
      <c r="AB37" s="302">
        <f t="shared" si="15"/>
        <v>155.74029438638399</v>
      </c>
      <c r="AC37" s="302" t="e">
        <f t="shared" si="15"/>
        <v>#DIV/0!</v>
      </c>
      <c r="AD37" s="302">
        <f t="shared" si="3"/>
        <v>99.129239593908622</v>
      </c>
      <c r="AE37" s="302"/>
      <c r="AG37" s="111">
        <f t="shared" si="13"/>
        <v>13396</v>
      </c>
      <c r="AH37" s="126">
        <f t="shared" si="5"/>
        <v>0</v>
      </c>
    </row>
    <row r="38" spans="1:34" s="127" customFormat="1" ht="24.75" customHeight="1">
      <c r="A38" s="298" t="s">
        <v>407</v>
      </c>
      <c r="B38" s="305" t="s">
        <v>721</v>
      </c>
      <c r="C38" s="300">
        <f t="shared" si="10"/>
        <v>7358</v>
      </c>
      <c r="D38" s="300"/>
      <c r="E38" s="300">
        <f t="shared" si="11"/>
        <v>7358</v>
      </c>
      <c r="F38" s="300">
        <v>7358</v>
      </c>
      <c r="G38" s="300"/>
      <c r="H38" s="300"/>
      <c r="I38" s="300"/>
      <c r="J38" s="300"/>
      <c r="K38" s="300">
        <f t="shared" si="8"/>
        <v>0</v>
      </c>
      <c r="L38" s="300"/>
      <c r="M38" s="300"/>
      <c r="N38" s="300">
        <f t="shared" si="14"/>
        <v>17599.898540000002</v>
      </c>
      <c r="O38" s="300"/>
      <c r="P38" s="301">
        <f t="shared" si="12"/>
        <v>17599.898540000002</v>
      </c>
      <c r="Q38" s="300">
        <f>16655.654028+944.244512</f>
        <v>17599.898540000002</v>
      </c>
      <c r="R38" s="300"/>
      <c r="S38" s="300"/>
      <c r="T38" s="300"/>
      <c r="U38" s="300">
        <f>V38+W38</f>
        <v>0</v>
      </c>
      <c r="V38" s="300"/>
      <c r="W38" s="300"/>
      <c r="X38" s="300"/>
      <c r="Y38" s="300"/>
      <c r="Z38" s="300"/>
      <c r="AA38" s="300"/>
      <c r="AB38" s="302">
        <f t="shared" si="15"/>
        <v>239.19405463441154</v>
      </c>
      <c r="AC38" s="302"/>
      <c r="AD38" s="302">
        <f t="shared" si="3"/>
        <v>239.19405463441154</v>
      </c>
      <c r="AE38" s="302"/>
      <c r="AG38" s="111">
        <f t="shared" si="13"/>
        <v>14716</v>
      </c>
      <c r="AH38" s="126">
        <f t="shared" si="5"/>
        <v>0</v>
      </c>
    </row>
    <row r="39" spans="1:34" s="127" customFormat="1" ht="24.75" customHeight="1">
      <c r="A39" s="303" t="s">
        <v>408</v>
      </c>
      <c r="B39" s="305" t="s">
        <v>723</v>
      </c>
      <c r="C39" s="300">
        <f t="shared" si="10"/>
        <v>7023</v>
      </c>
      <c r="D39" s="300"/>
      <c r="E39" s="300">
        <f t="shared" si="11"/>
        <v>7023</v>
      </c>
      <c r="F39" s="300">
        <v>7023</v>
      </c>
      <c r="G39" s="300"/>
      <c r="H39" s="300"/>
      <c r="I39" s="300"/>
      <c r="J39" s="300"/>
      <c r="K39" s="300">
        <f t="shared" si="8"/>
        <v>0</v>
      </c>
      <c r="L39" s="300"/>
      <c r="M39" s="300"/>
      <c r="N39" s="300">
        <f t="shared" si="14"/>
        <v>8291.0548749999998</v>
      </c>
      <c r="O39" s="300"/>
      <c r="P39" s="301">
        <f t="shared" si="12"/>
        <v>8291.0548749999998</v>
      </c>
      <c r="Q39" s="300">
        <v>8291.0548749999998</v>
      </c>
      <c r="R39" s="300"/>
      <c r="S39" s="300"/>
      <c r="T39" s="300"/>
      <c r="U39" s="300">
        <f t="shared" ref="U39:U83" si="16">V39+W39</f>
        <v>0</v>
      </c>
      <c r="V39" s="300"/>
      <c r="W39" s="300"/>
      <c r="X39" s="300"/>
      <c r="Y39" s="300"/>
      <c r="Z39" s="300"/>
      <c r="AA39" s="300"/>
      <c r="AB39" s="302">
        <f t="shared" si="15"/>
        <v>118.05574362807916</v>
      </c>
      <c r="AC39" s="302"/>
      <c r="AD39" s="302">
        <f t="shared" si="3"/>
        <v>118.05574362807916</v>
      </c>
      <c r="AE39" s="302"/>
      <c r="AG39" s="111">
        <f t="shared" si="13"/>
        <v>14046</v>
      </c>
      <c r="AH39" s="126">
        <f t="shared" si="5"/>
        <v>0</v>
      </c>
    </row>
    <row r="40" spans="1:34" s="127" customFormat="1" ht="24.75" customHeight="1">
      <c r="A40" s="298" t="s">
        <v>409</v>
      </c>
      <c r="B40" s="305" t="s">
        <v>682</v>
      </c>
      <c r="C40" s="300">
        <f t="shared" si="10"/>
        <v>15025</v>
      </c>
      <c r="D40" s="300"/>
      <c r="E40" s="300">
        <f t="shared" si="11"/>
        <v>15025</v>
      </c>
      <c r="F40" s="300">
        <v>15025</v>
      </c>
      <c r="G40" s="300"/>
      <c r="H40" s="300"/>
      <c r="I40" s="300"/>
      <c r="J40" s="300"/>
      <c r="K40" s="300">
        <f t="shared" si="8"/>
        <v>0</v>
      </c>
      <c r="L40" s="300"/>
      <c r="M40" s="300"/>
      <c r="N40" s="300">
        <f t="shared" si="14"/>
        <v>13884.318654999999</v>
      </c>
      <c r="O40" s="300"/>
      <c r="P40" s="301">
        <f t="shared" si="12"/>
        <v>13884.318654999999</v>
      </c>
      <c r="Q40" s="300">
        <v>13884.318654999999</v>
      </c>
      <c r="R40" s="300"/>
      <c r="S40" s="300"/>
      <c r="T40" s="300"/>
      <c r="U40" s="300">
        <f t="shared" si="16"/>
        <v>0</v>
      </c>
      <c r="V40" s="300"/>
      <c r="W40" s="300"/>
      <c r="X40" s="300"/>
      <c r="Y40" s="300"/>
      <c r="Z40" s="300"/>
      <c r="AA40" s="300"/>
      <c r="AB40" s="302">
        <f t="shared" si="15"/>
        <v>92.408110848585679</v>
      </c>
      <c r="AC40" s="302"/>
      <c r="AD40" s="302">
        <f t="shared" si="3"/>
        <v>92.408110848585679</v>
      </c>
      <c r="AE40" s="302"/>
      <c r="AG40" s="111">
        <f t="shared" si="13"/>
        <v>30050</v>
      </c>
      <c r="AH40" s="126">
        <f t="shared" si="5"/>
        <v>0</v>
      </c>
    </row>
    <row r="41" spans="1:34" s="127" customFormat="1" ht="24.75" customHeight="1">
      <c r="A41" s="303" t="s">
        <v>410</v>
      </c>
      <c r="B41" s="305" t="s">
        <v>683</v>
      </c>
      <c r="C41" s="300">
        <f t="shared" si="10"/>
        <v>45183.853999999999</v>
      </c>
      <c r="D41" s="300">
        <v>33217.853999999999</v>
      </c>
      <c r="E41" s="300">
        <f t="shared" si="11"/>
        <v>11966</v>
      </c>
      <c r="F41" s="300">
        <v>11966</v>
      </c>
      <c r="G41" s="300"/>
      <c r="H41" s="300"/>
      <c r="I41" s="300"/>
      <c r="J41" s="300"/>
      <c r="K41" s="300">
        <f t="shared" si="8"/>
        <v>0</v>
      </c>
      <c r="L41" s="300"/>
      <c r="M41" s="300"/>
      <c r="N41" s="300">
        <f t="shared" si="14"/>
        <v>11107.379309</v>
      </c>
      <c r="O41" s="300"/>
      <c r="P41" s="301">
        <f t="shared" si="12"/>
        <v>11099.779309</v>
      </c>
      <c r="Q41" s="300">
        <f>8958.410362-7.6+2148.968947</f>
        <v>11099.779309</v>
      </c>
      <c r="R41" s="300"/>
      <c r="S41" s="300"/>
      <c r="T41" s="300"/>
      <c r="U41" s="300">
        <f t="shared" si="16"/>
        <v>7.6</v>
      </c>
      <c r="V41" s="300"/>
      <c r="W41" s="300">
        <v>7.6</v>
      </c>
      <c r="X41" s="300"/>
      <c r="Y41" s="300"/>
      <c r="Z41" s="300"/>
      <c r="AA41" s="300"/>
      <c r="AB41" s="302">
        <f t="shared" si="15"/>
        <v>24.582629248492172</v>
      </c>
      <c r="AC41" s="302"/>
      <c r="AD41" s="302">
        <f t="shared" si="3"/>
        <v>92.7609836954705</v>
      </c>
      <c r="AE41" s="302"/>
      <c r="AG41" s="111">
        <f t="shared" si="13"/>
        <v>23932</v>
      </c>
      <c r="AH41" s="126">
        <f t="shared" si="5"/>
        <v>3.6415315207705135E-13</v>
      </c>
    </row>
    <row r="42" spans="1:34" s="127" customFormat="1" ht="24.75" customHeight="1">
      <c r="A42" s="298" t="s">
        <v>411</v>
      </c>
      <c r="B42" s="305" t="s">
        <v>684</v>
      </c>
      <c r="C42" s="300">
        <f t="shared" si="10"/>
        <v>10898</v>
      </c>
      <c r="D42" s="300"/>
      <c r="E42" s="300">
        <f t="shared" si="11"/>
        <v>10898</v>
      </c>
      <c r="F42" s="300">
        <v>10898</v>
      </c>
      <c r="G42" s="300"/>
      <c r="H42" s="300"/>
      <c r="I42" s="300"/>
      <c r="J42" s="300"/>
      <c r="K42" s="300">
        <f t="shared" si="8"/>
        <v>0</v>
      </c>
      <c r="L42" s="300"/>
      <c r="M42" s="300"/>
      <c r="N42" s="300">
        <f t="shared" si="14"/>
        <v>11294.098086</v>
      </c>
      <c r="O42" s="300"/>
      <c r="P42" s="301">
        <f t="shared" si="12"/>
        <v>11286.098086</v>
      </c>
      <c r="Q42" s="300">
        <f>11294.098086-8</f>
        <v>11286.098086</v>
      </c>
      <c r="R42" s="300"/>
      <c r="S42" s="300"/>
      <c r="T42" s="300"/>
      <c r="U42" s="300">
        <f t="shared" si="16"/>
        <v>8</v>
      </c>
      <c r="V42" s="300"/>
      <c r="W42" s="300">
        <v>8</v>
      </c>
      <c r="X42" s="300"/>
      <c r="Y42" s="300"/>
      <c r="Z42" s="300"/>
      <c r="AA42" s="300"/>
      <c r="AB42" s="302">
        <f t="shared" si="15"/>
        <v>103.63459429253074</v>
      </c>
      <c r="AC42" s="302" t="e">
        <f t="shared" si="15"/>
        <v>#DIV/0!</v>
      </c>
      <c r="AD42" s="302">
        <f t="shared" si="3"/>
        <v>103.56118632776656</v>
      </c>
      <c r="AE42" s="302"/>
      <c r="AG42" s="111">
        <f t="shared" si="13"/>
        <v>21796</v>
      </c>
      <c r="AH42" s="126">
        <f t="shared" si="5"/>
        <v>0</v>
      </c>
    </row>
    <row r="43" spans="1:34" s="127" customFormat="1" ht="24.75" customHeight="1">
      <c r="A43" s="303" t="s">
        <v>412</v>
      </c>
      <c r="B43" s="305" t="s">
        <v>230</v>
      </c>
      <c r="C43" s="300">
        <f t="shared" si="10"/>
        <v>36500</v>
      </c>
      <c r="D43" s="300"/>
      <c r="E43" s="300">
        <f t="shared" si="11"/>
        <v>36500</v>
      </c>
      <c r="F43" s="300">
        <v>36500</v>
      </c>
      <c r="G43" s="300"/>
      <c r="H43" s="300"/>
      <c r="I43" s="300"/>
      <c r="J43" s="300"/>
      <c r="K43" s="300">
        <f t="shared" si="8"/>
        <v>0</v>
      </c>
      <c r="L43" s="300"/>
      <c r="M43" s="300"/>
      <c r="N43" s="300">
        <f t="shared" si="14"/>
        <v>29447.328411999999</v>
      </c>
      <c r="O43" s="300"/>
      <c r="P43" s="301">
        <f t="shared" si="12"/>
        <v>29447.328411999999</v>
      </c>
      <c r="Q43" s="300">
        <f>25432.840118+4014.488294</f>
        <v>29447.328411999999</v>
      </c>
      <c r="R43" s="300"/>
      <c r="S43" s="300"/>
      <c r="T43" s="300"/>
      <c r="U43" s="300">
        <f t="shared" si="16"/>
        <v>0</v>
      </c>
      <c r="V43" s="300"/>
      <c r="W43" s="300"/>
      <c r="X43" s="300"/>
      <c r="Y43" s="300"/>
      <c r="Z43" s="300"/>
      <c r="AA43" s="300"/>
      <c r="AB43" s="302">
        <f t="shared" si="15"/>
        <v>80.677612087671235</v>
      </c>
      <c r="AC43" s="302" t="e">
        <f t="shared" si="15"/>
        <v>#DIV/0!</v>
      </c>
      <c r="AD43" s="302">
        <f t="shared" si="3"/>
        <v>80.677612087671235</v>
      </c>
      <c r="AE43" s="302"/>
      <c r="AG43" s="111">
        <f t="shared" si="13"/>
        <v>73000</v>
      </c>
      <c r="AH43" s="126">
        <f t="shared" si="5"/>
        <v>0</v>
      </c>
    </row>
    <row r="44" spans="1:34" s="127" customFormat="1" ht="24.75" customHeight="1">
      <c r="A44" s="298" t="s">
        <v>413</v>
      </c>
      <c r="B44" s="305" t="s">
        <v>685</v>
      </c>
      <c r="C44" s="300">
        <f t="shared" si="10"/>
        <v>3332</v>
      </c>
      <c r="D44" s="300"/>
      <c r="E44" s="300">
        <f t="shared" si="11"/>
        <v>3332</v>
      </c>
      <c r="F44" s="300">
        <v>3287</v>
      </c>
      <c r="G44" s="300"/>
      <c r="H44" s="300">
        <v>45</v>
      </c>
      <c r="I44" s="300"/>
      <c r="J44" s="300"/>
      <c r="K44" s="300">
        <f t="shared" si="8"/>
        <v>0</v>
      </c>
      <c r="L44" s="300"/>
      <c r="M44" s="300"/>
      <c r="N44" s="300">
        <f t="shared" si="14"/>
        <v>3214.623908</v>
      </c>
      <c r="O44" s="300"/>
      <c r="P44" s="301">
        <f t="shared" si="12"/>
        <v>3214.623908</v>
      </c>
      <c r="Q44" s="300">
        <v>3214.623908</v>
      </c>
      <c r="R44" s="300"/>
      <c r="S44" s="300"/>
      <c r="T44" s="300"/>
      <c r="U44" s="300">
        <f t="shared" si="16"/>
        <v>0</v>
      </c>
      <c r="V44" s="300"/>
      <c r="W44" s="300"/>
      <c r="X44" s="300"/>
      <c r="Y44" s="300"/>
      <c r="Z44" s="300"/>
      <c r="AA44" s="300"/>
      <c r="AB44" s="302">
        <f t="shared" si="15"/>
        <v>96.477308163265306</v>
      </c>
      <c r="AC44" s="302"/>
      <c r="AD44" s="302">
        <f t="shared" si="3"/>
        <v>96.477308163265306</v>
      </c>
      <c r="AE44" s="302"/>
      <c r="AG44" s="111">
        <f t="shared" si="13"/>
        <v>6619</v>
      </c>
      <c r="AH44" s="126">
        <f t="shared" si="5"/>
        <v>0</v>
      </c>
    </row>
    <row r="45" spans="1:34" s="127" customFormat="1" ht="25.5" customHeight="1">
      <c r="A45" s="303" t="s">
        <v>414</v>
      </c>
      <c r="B45" s="305" t="s">
        <v>686</v>
      </c>
      <c r="C45" s="300">
        <f t="shared" si="10"/>
        <v>4042</v>
      </c>
      <c r="D45" s="300"/>
      <c r="E45" s="300">
        <f t="shared" si="11"/>
        <v>4042</v>
      </c>
      <c r="F45" s="300">
        <v>4042</v>
      </c>
      <c r="G45" s="300"/>
      <c r="H45" s="300"/>
      <c r="I45" s="300"/>
      <c r="J45" s="300"/>
      <c r="K45" s="300">
        <f t="shared" si="8"/>
        <v>0</v>
      </c>
      <c r="L45" s="300"/>
      <c r="M45" s="300"/>
      <c r="N45" s="300">
        <f t="shared" si="14"/>
        <v>5813.272379</v>
      </c>
      <c r="O45" s="300"/>
      <c r="P45" s="301">
        <f t="shared" si="12"/>
        <v>5688.0356490000004</v>
      </c>
      <c r="Q45" s="300">
        <f>4813.272379-125.23673</f>
        <v>4688.0356490000004</v>
      </c>
      <c r="R45" s="300">
        <v>1000</v>
      </c>
      <c r="S45" s="300"/>
      <c r="T45" s="300"/>
      <c r="U45" s="300">
        <f t="shared" si="16"/>
        <v>125.23672999999999</v>
      </c>
      <c r="V45" s="300"/>
      <c r="W45" s="300">
        <v>125.23672999999999</v>
      </c>
      <c r="X45" s="300"/>
      <c r="Y45" s="300"/>
      <c r="Z45" s="300"/>
      <c r="AA45" s="300"/>
      <c r="AB45" s="302">
        <f t="shared" si="15"/>
        <v>143.82168181593269</v>
      </c>
      <c r="AC45" s="302"/>
      <c r="AD45" s="302">
        <f t="shared" si="3"/>
        <v>140.72329661058882</v>
      </c>
      <c r="AE45" s="302"/>
      <c r="AG45" s="111">
        <f t="shared" si="13"/>
        <v>8084</v>
      </c>
      <c r="AH45" s="126">
        <f t="shared" si="5"/>
        <v>-3.694822225952521E-13</v>
      </c>
    </row>
    <row r="46" spans="1:34" s="127" customFormat="1" ht="24.75" customHeight="1">
      <c r="A46" s="298" t="s">
        <v>415</v>
      </c>
      <c r="B46" s="305" t="s">
        <v>231</v>
      </c>
      <c r="C46" s="300">
        <f t="shared" si="10"/>
        <v>7612</v>
      </c>
      <c r="D46" s="300"/>
      <c r="E46" s="300">
        <f t="shared" si="11"/>
        <v>7612</v>
      </c>
      <c r="F46" s="300">
        <v>7562</v>
      </c>
      <c r="G46" s="300"/>
      <c r="H46" s="300">
        <v>50</v>
      </c>
      <c r="I46" s="300"/>
      <c r="J46" s="300"/>
      <c r="K46" s="300">
        <f t="shared" si="8"/>
        <v>0</v>
      </c>
      <c r="L46" s="300"/>
      <c r="M46" s="300"/>
      <c r="N46" s="300">
        <f t="shared" si="14"/>
        <v>7250.1616190000004</v>
      </c>
      <c r="O46" s="300"/>
      <c r="P46" s="301">
        <f t="shared" si="12"/>
        <v>7245.5626190000003</v>
      </c>
      <c r="Q46" s="300">
        <f>7250.161619-4.599</f>
        <v>7245.5626190000003</v>
      </c>
      <c r="R46" s="300"/>
      <c r="S46" s="300"/>
      <c r="T46" s="300"/>
      <c r="U46" s="300">
        <f t="shared" si="16"/>
        <v>4.5990000000000002</v>
      </c>
      <c r="V46" s="300"/>
      <c r="W46" s="300">
        <v>4.5990000000000002</v>
      </c>
      <c r="X46" s="300"/>
      <c r="Y46" s="300"/>
      <c r="Z46" s="300"/>
      <c r="AA46" s="300"/>
      <c r="AB46" s="302">
        <f t="shared" si="15"/>
        <v>95.246474238045195</v>
      </c>
      <c r="AC46" s="302"/>
      <c r="AD46" s="302">
        <f t="shared" si="3"/>
        <v>95.186056476615875</v>
      </c>
      <c r="AE46" s="302"/>
      <c r="AG46" s="111">
        <f t="shared" si="13"/>
        <v>15174</v>
      </c>
      <c r="AH46" s="126">
        <f t="shared" si="5"/>
        <v>1.5987211554602254E-13</v>
      </c>
    </row>
    <row r="47" spans="1:34" s="127" customFormat="1" ht="24.75" customHeight="1">
      <c r="A47" s="303" t="s">
        <v>416</v>
      </c>
      <c r="B47" s="305" t="s">
        <v>687</v>
      </c>
      <c r="C47" s="300">
        <f t="shared" si="10"/>
        <v>5914</v>
      </c>
      <c r="D47" s="300"/>
      <c r="E47" s="300">
        <f t="shared" si="11"/>
        <v>5914</v>
      </c>
      <c r="F47" s="300">
        <v>5765</v>
      </c>
      <c r="G47" s="300"/>
      <c r="H47" s="300">
        <v>149</v>
      </c>
      <c r="I47" s="300"/>
      <c r="J47" s="300"/>
      <c r="K47" s="300">
        <f t="shared" si="8"/>
        <v>0</v>
      </c>
      <c r="L47" s="300"/>
      <c r="M47" s="300"/>
      <c r="N47" s="300">
        <f t="shared" si="14"/>
        <v>7522.8429139999998</v>
      </c>
      <c r="O47" s="300"/>
      <c r="P47" s="301">
        <f t="shared" si="12"/>
        <v>6663.8771239999996</v>
      </c>
      <c r="Q47" s="300">
        <f>7522.842914-858.96579</f>
        <v>6663.8771239999996</v>
      </c>
      <c r="R47" s="300"/>
      <c r="S47" s="300"/>
      <c r="T47" s="300"/>
      <c r="U47" s="300">
        <f t="shared" si="16"/>
        <v>858.96578999999997</v>
      </c>
      <c r="V47" s="300"/>
      <c r="W47" s="300">
        <v>858.96578999999997</v>
      </c>
      <c r="X47" s="300"/>
      <c r="Y47" s="300"/>
      <c r="Z47" s="300"/>
      <c r="AA47" s="300"/>
      <c r="AB47" s="302">
        <f t="shared" si="15"/>
        <v>127.20397216773756</v>
      </c>
      <c r="AC47" s="302"/>
      <c r="AD47" s="302">
        <f t="shared" si="3"/>
        <v>112.67969435238416</v>
      </c>
      <c r="AE47" s="302"/>
      <c r="AG47" s="111">
        <f t="shared" si="13"/>
        <v>11679</v>
      </c>
      <c r="AH47" s="126">
        <f t="shared" si="5"/>
        <v>0</v>
      </c>
    </row>
    <row r="48" spans="1:34" s="127" customFormat="1" ht="24.75" customHeight="1">
      <c r="A48" s="298" t="s">
        <v>417</v>
      </c>
      <c r="B48" s="305" t="s">
        <v>222</v>
      </c>
      <c r="C48" s="300">
        <f t="shared" si="10"/>
        <v>22000</v>
      </c>
      <c r="D48" s="300">
        <v>22000</v>
      </c>
      <c r="E48" s="300">
        <f t="shared" si="11"/>
        <v>0</v>
      </c>
      <c r="F48" s="300"/>
      <c r="G48" s="300"/>
      <c r="H48" s="300"/>
      <c r="I48" s="300"/>
      <c r="J48" s="300"/>
      <c r="K48" s="300">
        <f t="shared" si="8"/>
        <v>0</v>
      </c>
      <c r="L48" s="300"/>
      <c r="M48" s="300"/>
      <c r="N48" s="300">
        <f t="shared" si="14"/>
        <v>0</v>
      </c>
      <c r="O48" s="300"/>
      <c r="P48" s="301">
        <f t="shared" si="12"/>
        <v>0</v>
      </c>
      <c r="Q48" s="300"/>
      <c r="R48" s="300"/>
      <c r="S48" s="300"/>
      <c r="T48" s="300"/>
      <c r="U48" s="300">
        <f t="shared" si="16"/>
        <v>0</v>
      </c>
      <c r="V48" s="300"/>
      <c r="W48" s="300"/>
      <c r="X48" s="300"/>
      <c r="Y48" s="300"/>
      <c r="Z48" s="300"/>
      <c r="AA48" s="300"/>
      <c r="AB48" s="302">
        <f t="shared" si="15"/>
        <v>0</v>
      </c>
      <c r="AC48" s="302"/>
      <c r="AD48" s="302" t="e">
        <f t="shared" si="3"/>
        <v>#DIV/0!</v>
      </c>
      <c r="AE48" s="302"/>
      <c r="AG48" s="111">
        <f t="shared" si="13"/>
        <v>0</v>
      </c>
      <c r="AH48" s="126">
        <f t="shared" si="5"/>
        <v>0</v>
      </c>
    </row>
    <row r="49" spans="1:34" s="127" customFormat="1" ht="33" customHeight="1">
      <c r="A49" s="303" t="s">
        <v>418</v>
      </c>
      <c r="B49" s="305" t="s">
        <v>535</v>
      </c>
      <c r="C49" s="300">
        <f t="shared" si="10"/>
        <v>11200</v>
      </c>
      <c r="D49" s="300">
        <v>11200</v>
      </c>
      <c r="E49" s="300">
        <f t="shared" si="11"/>
        <v>0</v>
      </c>
      <c r="F49" s="300"/>
      <c r="G49" s="300"/>
      <c r="H49" s="300"/>
      <c r="I49" s="300"/>
      <c r="J49" s="300"/>
      <c r="K49" s="300">
        <f t="shared" si="8"/>
        <v>0</v>
      </c>
      <c r="L49" s="300"/>
      <c r="M49" s="300"/>
      <c r="N49" s="300">
        <f t="shared" si="14"/>
        <v>0</v>
      </c>
      <c r="O49" s="300"/>
      <c r="P49" s="301">
        <f t="shared" si="12"/>
        <v>0</v>
      </c>
      <c r="Q49" s="300"/>
      <c r="R49" s="300"/>
      <c r="S49" s="300"/>
      <c r="T49" s="300"/>
      <c r="U49" s="300">
        <f t="shared" si="16"/>
        <v>0</v>
      </c>
      <c r="V49" s="300"/>
      <c r="W49" s="300"/>
      <c r="X49" s="300"/>
      <c r="Y49" s="300"/>
      <c r="Z49" s="300"/>
      <c r="AA49" s="300"/>
      <c r="AB49" s="302">
        <f t="shared" si="15"/>
        <v>0</v>
      </c>
      <c r="AC49" s="302"/>
      <c r="AD49" s="302" t="e">
        <f t="shared" si="3"/>
        <v>#DIV/0!</v>
      </c>
      <c r="AE49" s="302"/>
      <c r="AG49" s="111">
        <f t="shared" si="13"/>
        <v>0</v>
      </c>
      <c r="AH49" s="126">
        <f t="shared" si="5"/>
        <v>0</v>
      </c>
    </row>
    <row r="50" spans="1:34" s="127" customFormat="1" ht="20.25" customHeight="1">
      <c r="A50" s="298" t="s">
        <v>419</v>
      </c>
      <c r="B50" s="305" t="s">
        <v>293</v>
      </c>
      <c r="C50" s="300">
        <f t="shared" si="10"/>
        <v>8450</v>
      </c>
      <c r="D50" s="300">
        <v>8450</v>
      </c>
      <c r="E50" s="300">
        <f t="shared" si="11"/>
        <v>0</v>
      </c>
      <c r="F50" s="300"/>
      <c r="G50" s="300"/>
      <c r="H50" s="300"/>
      <c r="I50" s="300"/>
      <c r="J50" s="300"/>
      <c r="K50" s="300">
        <f t="shared" si="8"/>
        <v>0</v>
      </c>
      <c r="L50" s="300"/>
      <c r="M50" s="300"/>
      <c r="N50" s="300">
        <f t="shared" si="14"/>
        <v>0</v>
      </c>
      <c r="O50" s="300"/>
      <c r="P50" s="301">
        <f t="shared" si="12"/>
        <v>0</v>
      </c>
      <c r="Q50" s="300"/>
      <c r="R50" s="300"/>
      <c r="S50" s="300"/>
      <c r="T50" s="300"/>
      <c r="U50" s="300">
        <f t="shared" si="16"/>
        <v>0</v>
      </c>
      <c r="V50" s="300"/>
      <c r="W50" s="300"/>
      <c r="X50" s="300"/>
      <c r="Y50" s="300"/>
      <c r="Z50" s="300"/>
      <c r="AA50" s="300"/>
      <c r="AB50" s="302">
        <f t="shared" si="15"/>
        <v>0</v>
      </c>
      <c r="AC50" s="302"/>
      <c r="AD50" s="302" t="e">
        <f t="shared" si="3"/>
        <v>#DIV/0!</v>
      </c>
      <c r="AE50" s="302"/>
      <c r="AG50" s="111">
        <f t="shared" si="13"/>
        <v>0</v>
      </c>
      <c r="AH50" s="126">
        <f t="shared" si="5"/>
        <v>0</v>
      </c>
    </row>
    <row r="51" spans="1:34" s="127" customFormat="1" ht="34.5" customHeight="1">
      <c r="A51" s="303" t="s">
        <v>420</v>
      </c>
      <c r="B51" s="305" t="s">
        <v>263</v>
      </c>
      <c r="C51" s="300">
        <f t="shared" si="10"/>
        <v>10478.366</v>
      </c>
      <c r="D51" s="300">
        <v>10478.366</v>
      </c>
      <c r="E51" s="300">
        <f t="shared" si="11"/>
        <v>0</v>
      </c>
      <c r="F51" s="300"/>
      <c r="G51" s="300"/>
      <c r="H51" s="300"/>
      <c r="I51" s="300"/>
      <c r="J51" s="300"/>
      <c r="K51" s="300">
        <f t="shared" si="8"/>
        <v>0</v>
      </c>
      <c r="L51" s="300"/>
      <c r="M51" s="300"/>
      <c r="N51" s="300">
        <f t="shared" si="14"/>
        <v>0</v>
      </c>
      <c r="O51" s="300"/>
      <c r="P51" s="301">
        <f t="shared" si="12"/>
        <v>0</v>
      </c>
      <c r="Q51" s="300"/>
      <c r="R51" s="300"/>
      <c r="S51" s="300"/>
      <c r="T51" s="300"/>
      <c r="U51" s="300">
        <f t="shared" si="16"/>
        <v>0</v>
      </c>
      <c r="V51" s="300"/>
      <c r="W51" s="300"/>
      <c r="X51" s="300"/>
      <c r="Y51" s="300"/>
      <c r="Z51" s="300"/>
      <c r="AA51" s="300"/>
      <c r="AB51" s="302">
        <f t="shared" si="15"/>
        <v>0</v>
      </c>
      <c r="AC51" s="302"/>
      <c r="AD51" s="302" t="e">
        <f t="shared" si="3"/>
        <v>#DIV/0!</v>
      </c>
      <c r="AE51" s="302"/>
      <c r="AG51" s="111">
        <f t="shared" si="13"/>
        <v>0</v>
      </c>
      <c r="AH51" s="126">
        <f t="shared" si="5"/>
        <v>0</v>
      </c>
    </row>
    <row r="52" spans="1:34" s="127" customFormat="1" ht="24.75" customHeight="1">
      <c r="A52" s="329" t="s">
        <v>421</v>
      </c>
      <c r="B52" s="330" t="s">
        <v>223</v>
      </c>
      <c r="C52" s="331">
        <f t="shared" si="10"/>
        <v>10000</v>
      </c>
      <c r="D52" s="331">
        <v>10000</v>
      </c>
      <c r="E52" s="300">
        <f t="shared" si="11"/>
        <v>0</v>
      </c>
      <c r="F52" s="300"/>
      <c r="G52" s="300"/>
      <c r="H52" s="300"/>
      <c r="I52" s="300"/>
      <c r="J52" s="300"/>
      <c r="K52" s="300">
        <f t="shared" si="8"/>
        <v>0</v>
      </c>
      <c r="L52" s="300"/>
      <c r="M52" s="300"/>
      <c r="N52" s="300">
        <f t="shared" si="14"/>
        <v>0</v>
      </c>
      <c r="O52" s="300"/>
      <c r="P52" s="301">
        <f t="shared" si="12"/>
        <v>0</v>
      </c>
      <c r="Q52" s="300"/>
      <c r="R52" s="300"/>
      <c r="S52" s="300"/>
      <c r="T52" s="300"/>
      <c r="U52" s="300">
        <f t="shared" si="16"/>
        <v>0</v>
      </c>
      <c r="V52" s="300"/>
      <c r="W52" s="300"/>
      <c r="X52" s="300"/>
      <c r="Y52" s="300"/>
      <c r="Z52" s="300"/>
      <c r="AA52" s="300"/>
      <c r="AB52" s="302">
        <f t="shared" si="15"/>
        <v>0</v>
      </c>
      <c r="AC52" s="302"/>
      <c r="AD52" s="302" t="e">
        <f t="shared" si="3"/>
        <v>#DIV/0!</v>
      </c>
      <c r="AE52" s="302"/>
      <c r="AG52" s="111">
        <f t="shared" si="13"/>
        <v>0</v>
      </c>
      <c r="AH52" s="126">
        <f t="shared" si="5"/>
        <v>0</v>
      </c>
    </row>
    <row r="53" spans="1:34" s="127" customFormat="1" ht="24.75" customHeight="1">
      <c r="A53" s="332" t="s">
        <v>422</v>
      </c>
      <c r="B53" s="330" t="s">
        <v>462</v>
      </c>
      <c r="C53" s="331">
        <f t="shared" si="10"/>
        <v>20000</v>
      </c>
      <c r="D53" s="331">
        <v>20000</v>
      </c>
      <c r="E53" s="300">
        <f t="shared" si="11"/>
        <v>0</v>
      </c>
      <c r="F53" s="300"/>
      <c r="G53" s="300"/>
      <c r="H53" s="300"/>
      <c r="I53" s="300"/>
      <c r="J53" s="300"/>
      <c r="K53" s="300">
        <f t="shared" si="8"/>
        <v>0</v>
      </c>
      <c r="L53" s="300"/>
      <c r="M53" s="300"/>
      <c r="N53" s="300">
        <f t="shared" si="14"/>
        <v>0</v>
      </c>
      <c r="O53" s="300"/>
      <c r="P53" s="301">
        <f t="shared" si="12"/>
        <v>0</v>
      </c>
      <c r="Q53" s="300"/>
      <c r="R53" s="300"/>
      <c r="S53" s="300"/>
      <c r="T53" s="300"/>
      <c r="U53" s="300">
        <f t="shared" si="16"/>
        <v>0</v>
      </c>
      <c r="V53" s="300"/>
      <c r="W53" s="300"/>
      <c r="X53" s="300"/>
      <c r="Y53" s="300"/>
      <c r="Z53" s="300"/>
      <c r="AA53" s="300"/>
      <c r="AB53" s="302">
        <f t="shared" si="15"/>
        <v>0</v>
      </c>
      <c r="AC53" s="302"/>
      <c r="AD53" s="302" t="e">
        <f t="shared" si="3"/>
        <v>#DIV/0!</v>
      </c>
      <c r="AE53" s="302"/>
      <c r="AG53" s="111">
        <f t="shared" si="13"/>
        <v>0</v>
      </c>
      <c r="AH53" s="126">
        <f t="shared" si="5"/>
        <v>0</v>
      </c>
    </row>
    <row r="54" spans="1:34" s="127" customFormat="1" ht="24.75" customHeight="1">
      <c r="A54" s="298" t="s">
        <v>423</v>
      </c>
      <c r="B54" s="305" t="s">
        <v>232</v>
      </c>
      <c r="C54" s="300">
        <f t="shared" si="10"/>
        <v>21579</v>
      </c>
      <c r="D54" s="300"/>
      <c r="E54" s="300">
        <f t="shared" si="11"/>
        <v>21579</v>
      </c>
      <c r="F54" s="300">
        <v>12479</v>
      </c>
      <c r="G54" s="300"/>
      <c r="H54" s="300">
        <v>9100</v>
      </c>
      <c r="I54" s="300"/>
      <c r="J54" s="300"/>
      <c r="K54" s="300">
        <f t="shared" si="8"/>
        <v>0</v>
      </c>
      <c r="L54" s="300"/>
      <c r="M54" s="300"/>
      <c r="N54" s="300">
        <f t="shared" si="14"/>
        <v>31266</v>
      </c>
      <c r="O54" s="300"/>
      <c r="P54" s="301">
        <f t="shared" si="12"/>
        <v>30816</v>
      </c>
      <c r="Q54" s="300">
        <f>31266-450</f>
        <v>30816</v>
      </c>
      <c r="R54" s="300"/>
      <c r="S54" s="300"/>
      <c r="T54" s="300"/>
      <c r="U54" s="300">
        <f t="shared" si="16"/>
        <v>450</v>
      </c>
      <c r="V54" s="300"/>
      <c r="W54" s="300">
        <v>450</v>
      </c>
      <c r="X54" s="300"/>
      <c r="Y54" s="300"/>
      <c r="Z54" s="300"/>
      <c r="AA54" s="300"/>
      <c r="AB54" s="302">
        <f t="shared" si="15"/>
        <v>144.89086611983873</v>
      </c>
      <c r="AC54" s="302"/>
      <c r="AD54" s="302">
        <f t="shared" si="3"/>
        <v>142.80550535242597</v>
      </c>
      <c r="AE54" s="302"/>
      <c r="AG54" s="111">
        <f t="shared" si="13"/>
        <v>34058</v>
      </c>
      <c r="AH54" s="126">
        <f t="shared" si="5"/>
        <v>0</v>
      </c>
    </row>
    <row r="55" spans="1:34" s="127" customFormat="1" ht="27.75" customHeight="1">
      <c r="A55" s="303" t="s">
        <v>424</v>
      </c>
      <c r="B55" s="305" t="s">
        <v>724</v>
      </c>
      <c r="C55" s="300">
        <f t="shared" si="10"/>
        <v>71182</v>
      </c>
      <c r="D55" s="300"/>
      <c r="E55" s="300">
        <f t="shared" si="11"/>
        <v>71182</v>
      </c>
      <c r="F55" s="300">
        <f>43398+24699</f>
        <v>68097</v>
      </c>
      <c r="G55" s="300"/>
      <c r="H55" s="300">
        <f>45+3000+40</f>
        <v>3085</v>
      </c>
      <c r="I55" s="300"/>
      <c r="J55" s="300"/>
      <c r="K55" s="300">
        <f t="shared" si="8"/>
        <v>0</v>
      </c>
      <c r="L55" s="300"/>
      <c r="M55" s="300"/>
      <c r="N55" s="300">
        <f t="shared" si="14"/>
        <v>90279.515782000002</v>
      </c>
      <c r="O55" s="300"/>
      <c r="P55" s="301">
        <f t="shared" si="12"/>
        <v>90271.515782000002</v>
      </c>
      <c r="Q55" s="300">
        <f>90279.515782-8</f>
        <v>90271.515782000002</v>
      </c>
      <c r="R55" s="300"/>
      <c r="S55" s="300"/>
      <c r="T55" s="300"/>
      <c r="U55" s="300">
        <f t="shared" si="16"/>
        <v>8</v>
      </c>
      <c r="V55" s="300"/>
      <c r="W55" s="300">
        <v>8</v>
      </c>
      <c r="X55" s="300"/>
      <c r="Y55" s="300"/>
      <c r="Z55" s="300"/>
      <c r="AA55" s="300"/>
      <c r="AB55" s="302">
        <f t="shared" si="15"/>
        <v>126.82913627321513</v>
      </c>
      <c r="AC55" s="302"/>
      <c r="AD55" s="302">
        <f t="shared" si="3"/>
        <v>126.81789747689022</v>
      </c>
      <c r="AE55" s="302"/>
      <c r="AG55" s="111">
        <f t="shared" si="13"/>
        <v>139279</v>
      </c>
      <c r="AH55" s="126">
        <f t="shared" si="5"/>
        <v>0</v>
      </c>
    </row>
    <row r="56" spans="1:34" s="127" customFormat="1" ht="33" customHeight="1">
      <c r="A56" s="298" t="s">
        <v>423</v>
      </c>
      <c r="B56" s="305" t="s">
        <v>688</v>
      </c>
      <c r="C56" s="300">
        <f t="shared" si="10"/>
        <v>46000</v>
      </c>
      <c r="D56" s="300">
        <v>46000</v>
      </c>
      <c r="E56" s="300">
        <f t="shared" si="11"/>
        <v>0</v>
      </c>
      <c r="F56" s="300"/>
      <c r="G56" s="300"/>
      <c r="H56" s="300"/>
      <c r="I56" s="300"/>
      <c r="J56" s="300"/>
      <c r="K56" s="300">
        <f t="shared" si="8"/>
        <v>0</v>
      </c>
      <c r="L56" s="300"/>
      <c r="M56" s="300"/>
      <c r="N56" s="300">
        <f t="shared" si="14"/>
        <v>0</v>
      </c>
      <c r="O56" s="300"/>
      <c r="P56" s="301">
        <f t="shared" si="12"/>
        <v>0</v>
      </c>
      <c r="Q56" s="300"/>
      <c r="R56" s="300"/>
      <c r="S56" s="300"/>
      <c r="T56" s="300"/>
      <c r="U56" s="300">
        <f t="shared" si="16"/>
        <v>0</v>
      </c>
      <c r="V56" s="300"/>
      <c r="W56" s="300"/>
      <c r="X56" s="300"/>
      <c r="Y56" s="300"/>
      <c r="Z56" s="300"/>
      <c r="AA56" s="300"/>
      <c r="AB56" s="302">
        <f t="shared" si="15"/>
        <v>0</v>
      </c>
      <c r="AC56" s="302"/>
      <c r="AD56" s="302" t="e">
        <f t="shared" si="3"/>
        <v>#DIV/0!</v>
      </c>
      <c r="AE56" s="302"/>
      <c r="AG56" s="111">
        <f t="shared" si="13"/>
        <v>0</v>
      </c>
      <c r="AH56" s="126">
        <f t="shared" si="5"/>
        <v>0</v>
      </c>
    </row>
    <row r="57" spans="1:34" s="127" customFormat="1" ht="24.75" customHeight="1">
      <c r="A57" s="303" t="s">
        <v>424</v>
      </c>
      <c r="B57" s="299" t="s">
        <v>604</v>
      </c>
      <c r="C57" s="300">
        <f t="shared" si="10"/>
        <v>562</v>
      </c>
      <c r="D57" s="300"/>
      <c r="E57" s="300">
        <f t="shared" si="11"/>
        <v>562</v>
      </c>
      <c r="F57" s="300">
        <v>562</v>
      </c>
      <c r="G57" s="300"/>
      <c r="H57" s="300"/>
      <c r="I57" s="300"/>
      <c r="J57" s="300"/>
      <c r="K57" s="300">
        <f t="shared" si="8"/>
        <v>0</v>
      </c>
      <c r="L57" s="300"/>
      <c r="M57" s="300"/>
      <c r="N57" s="300">
        <f t="shared" si="14"/>
        <v>536</v>
      </c>
      <c r="O57" s="300"/>
      <c r="P57" s="301">
        <f t="shared" si="12"/>
        <v>536</v>
      </c>
      <c r="Q57" s="300">
        <v>536</v>
      </c>
      <c r="R57" s="300"/>
      <c r="S57" s="300"/>
      <c r="T57" s="300"/>
      <c r="U57" s="300">
        <f t="shared" si="16"/>
        <v>0</v>
      </c>
      <c r="V57" s="300"/>
      <c r="W57" s="300"/>
      <c r="X57" s="300"/>
      <c r="Y57" s="300"/>
      <c r="Z57" s="300"/>
      <c r="AA57" s="300"/>
      <c r="AB57" s="302">
        <f t="shared" si="15"/>
        <v>95.37366548042705</v>
      </c>
      <c r="AC57" s="302"/>
      <c r="AD57" s="302">
        <f t="shared" si="3"/>
        <v>95.37366548042705</v>
      </c>
      <c r="AE57" s="302"/>
      <c r="AG57" s="111">
        <f t="shared" si="13"/>
        <v>1124</v>
      </c>
      <c r="AH57" s="126">
        <f t="shared" si="5"/>
        <v>0</v>
      </c>
    </row>
    <row r="58" spans="1:34" s="127" customFormat="1" ht="24.75" customHeight="1">
      <c r="A58" s="298" t="s">
        <v>425</v>
      </c>
      <c r="B58" s="299" t="s">
        <v>689</v>
      </c>
      <c r="C58" s="300">
        <f t="shared" si="10"/>
        <v>436</v>
      </c>
      <c r="D58" s="300"/>
      <c r="E58" s="300">
        <f t="shared" si="11"/>
        <v>436</v>
      </c>
      <c r="F58" s="300">
        <v>436</v>
      </c>
      <c r="G58" s="300"/>
      <c r="H58" s="300"/>
      <c r="I58" s="300"/>
      <c r="J58" s="300"/>
      <c r="K58" s="300">
        <f t="shared" si="8"/>
        <v>0</v>
      </c>
      <c r="L58" s="300"/>
      <c r="M58" s="300"/>
      <c r="N58" s="300">
        <f t="shared" si="14"/>
        <v>431</v>
      </c>
      <c r="O58" s="300"/>
      <c r="P58" s="301">
        <f t="shared" si="12"/>
        <v>431</v>
      </c>
      <c r="Q58" s="300">
        <v>431</v>
      </c>
      <c r="R58" s="300"/>
      <c r="S58" s="300"/>
      <c r="T58" s="300"/>
      <c r="U58" s="300">
        <f t="shared" si="16"/>
        <v>0</v>
      </c>
      <c r="V58" s="300"/>
      <c r="W58" s="300"/>
      <c r="X58" s="300"/>
      <c r="Y58" s="300"/>
      <c r="Z58" s="300"/>
      <c r="AA58" s="300"/>
      <c r="AB58" s="302">
        <f t="shared" si="15"/>
        <v>98.853211009174302</v>
      </c>
      <c r="AC58" s="302"/>
      <c r="AD58" s="302">
        <f t="shared" si="3"/>
        <v>98.853211009174302</v>
      </c>
      <c r="AE58" s="302"/>
      <c r="AG58" s="111">
        <f t="shared" si="13"/>
        <v>872</v>
      </c>
      <c r="AH58" s="126">
        <f t="shared" si="5"/>
        <v>0</v>
      </c>
    </row>
    <row r="59" spans="1:34" s="127" customFormat="1" ht="31.5" customHeight="1">
      <c r="A59" s="303" t="s">
        <v>426</v>
      </c>
      <c r="B59" s="305" t="s">
        <v>690</v>
      </c>
      <c r="C59" s="300">
        <f t="shared" si="10"/>
        <v>420</v>
      </c>
      <c r="D59" s="300"/>
      <c r="E59" s="300">
        <f t="shared" si="11"/>
        <v>420</v>
      </c>
      <c r="F59" s="300">
        <v>420</v>
      </c>
      <c r="G59" s="300"/>
      <c r="H59" s="300"/>
      <c r="I59" s="300"/>
      <c r="J59" s="300"/>
      <c r="K59" s="300">
        <f t="shared" si="8"/>
        <v>0</v>
      </c>
      <c r="L59" s="300"/>
      <c r="M59" s="300"/>
      <c r="N59" s="300">
        <f t="shared" si="14"/>
        <v>410</v>
      </c>
      <c r="O59" s="300"/>
      <c r="P59" s="301">
        <f t="shared" si="12"/>
        <v>410</v>
      </c>
      <c r="Q59" s="300">
        <v>410</v>
      </c>
      <c r="R59" s="300"/>
      <c r="S59" s="300"/>
      <c r="T59" s="300"/>
      <c r="U59" s="300">
        <f t="shared" si="16"/>
        <v>0</v>
      </c>
      <c r="V59" s="300"/>
      <c r="W59" s="300"/>
      <c r="X59" s="300"/>
      <c r="Y59" s="300"/>
      <c r="Z59" s="300"/>
      <c r="AA59" s="300"/>
      <c r="AB59" s="302">
        <f t="shared" si="15"/>
        <v>97.61904761904762</v>
      </c>
      <c r="AC59" s="302"/>
      <c r="AD59" s="302">
        <f t="shared" si="3"/>
        <v>97.61904761904762</v>
      </c>
      <c r="AE59" s="302"/>
      <c r="AG59" s="111">
        <f t="shared" si="13"/>
        <v>840</v>
      </c>
      <c r="AH59" s="126">
        <f t="shared" si="5"/>
        <v>0</v>
      </c>
    </row>
    <row r="60" spans="1:34" s="127" customFormat="1" ht="24.75" customHeight="1">
      <c r="A60" s="298" t="s">
        <v>427</v>
      </c>
      <c r="B60" s="305" t="s">
        <v>233</v>
      </c>
      <c r="C60" s="300">
        <f t="shared" si="10"/>
        <v>412</v>
      </c>
      <c r="D60" s="300"/>
      <c r="E60" s="300">
        <f t="shared" si="11"/>
        <v>412</v>
      </c>
      <c r="F60" s="300">
        <v>412</v>
      </c>
      <c r="G60" s="300"/>
      <c r="H60" s="300"/>
      <c r="I60" s="300"/>
      <c r="J60" s="300"/>
      <c r="K60" s="300">
        <f t="shared" si="8"/>
        <v>0</v>
      </c>
      <c r="L60" s="300"/>
      <c r="M60" s="300"/>
      <c r="N60" s="300">
        <f t="shared" si="14"/>
        <v>402</v>
      </c>
      <c r="O60" s="300"/>
      <c r="P60" s="301">
        <f t="shared" si="12"/>
        <v>402</v>
      </c>
      <c r="Q60" s="300">
        <v>402</v>
      </c>
      <c r="R60" s="300"/>
      <c r="S60" s="300"/>
      <c r="T60" s="300"/>
      <c r="U60" s="300">
        <f t="shared" si="16"/>
        <v>0</v>
      </c>
      <c r="V60" s="300"/>
      <c r="W60" s="300"/>
      <c r="X60" s="300"/>
      <c r="Y60" s="300"/>
      <c r="Z60" s="300"/>
      <c r="AA60" s="300"/>
      <c r="AB60" s="302">
        <f t="shared" si="15"/>
        <v>97.572815533980574</v>
      </c>
      <c r="AC60" s="302"/>
      <c r="AD60" s="302">
        <f t="shared" si="3"/>
        <v>97.572815533980574</v>
      </c>
      <c r="AE60" s="302"/>
      <c r="AG60" s="111">
        <f t="shared" si="13"/>
        <v>824</v>
      </c>
      <c r="AH60" s="126">
        <f t="shared" si="5"/>
        <v>0</v>
      </c>
    </row>
    <row r="61" spans="1:34" s="127" customFormat="1" ht="24.75" customHeight="1">
      <c r="A61" s="303" t="s">
        <v>701</v>
      </c>
      <c r="B61" s="305" t="s">
        <v>234</v>
      </c>
      <c r="C61" s="300">
        <f t="shared" si="10"/>
        <v>90</v>
      </c>
      <c r="D61" s="300"/>
      <c r="E61" s="300">
        <f t="shared" si="11"/>
        <v>90</v>
      </c>
      <c r="F61" s="300">
        <v>90</v>
      </c>
      <c r="G61" s="300"/>
      <c r="H61" s="300"/>
      <c r="I61" s="300"/>
      <c r="J61" s="300"/>
      <c r="K61" s="300">
        <f t="shared" si="8"/>
        <v>0</v>
      </c>
      <c r="L61" s="300"/>
      <c r="M61" s="300"/>
      <c r="N61" s="300">
        <f t="shared" si="14"/>
        <v>81</v>
      </c>
      <c r="O61" s="300"/>
      <c r="P61" s="301">
        <f t="shared" si="12"/>
        <v>81</v>
      </c>
      <c r="Q61" s="300">
        <v>81</v>
      </c>
      <c r="R61" s="300"/>
      <c r="S61" s="300"/>
      <c r="T61" s="300"/>
      <c r="U61" s="300">
        <f t="shared" si="16"/>
        <v>0</v>
      </c>
      <c r="V61" s="300"/>
      <c r="W61" s="300"/>
      <c r="X61" s="300"/>
      <c r="Y61" s="300"/>
      <c r="Z61" s="300"/>
      <c r="AA61" s="300"/>
      <c r="AB61" s="302">
        <f t="shared" si="15"/>
        <v>90</v>
      </c>
      <c r="AC61" s="302"/>
      <c r="AD61" s="302">
        <f t="shared" si="3"/>
        <v>90</v>
      </c>
      <c r="AE61" s="302"/>
      <c r="AG61" s="111">
        <f t="shared" si="13"/>
        <v>180</v>
      </c>
      <c r="AH61" s="126">
        <f t="shared" si="5"/>
        <v>0</v>
      </c>
    </row>
    <row r="62" spans="1:34" s="127" customFormat="1" ht="24.75" customHeight="1">
      <c r="A62" s="298" t="s">
        <v>428</v>
      </c>
      <c r="B62" s="307" t="s">
        <v>235</v>
      </c>
      <c r="C62" s="300">
        <f t="shared" si="10"/>
        <v>1034</v>
      </c>
      <c r="D62" s="300"/>
      <c r="E62" s="300">
        <f t="shared" si="11"/>
        <v>1034</v>
      </c>
      <c r="F62" s="300">
        <v>1034</v>
      </c>
      <c r="G62" s="300"/>
      <c r="H62" s="300"/>
      <c r="I62" s="300"/>
      <c r="J62" s="300"/>
      <c r="K62" s="300">
        <f t="shared" si="8"/>
        <v>0</v>
      </c>
      <c r="L62" s="300"/>
      <c r="M62" s="300"/>
      <c r="N62" s="300">
        <f t="shared" si="14"/>
        <v>1236.5</v>
      </c>
      <c r="O62" s="300"/>
      <c r="P62" s="301">
        <f t="shared" si="12"/>
        <v>1236.5</v>
      </c>
      <c r="Q62" s="300">
        <v>1236.5</v>
      </c>
      <c r="R62" s="300"/>
      <c r="S62" s="300"/>
      <c r="T62" s="300"/>
      <c r="U62" s="300">
        <f t="shared" si="16"/>
        <v>0</v>
      </c>
      <c r="V62" s="300"/>
      <c r="W62" s="300"/>
      <c r="X62" s="300"/>
      <c r="Y62" s="300"/>
      <c r="Z62" s="300"/>
      <c r="AA62" s="300"/>
      <c r="AB62" s="302">
        <f t="shared" si="15"/>
        <v>119.58413926499033</v>
      </c>
      <c r="AC62" s="302"/>
      <c r="AD62" s="302">
        <f t="shared" si="3"/>
        <v>119.58413926499033</v>
      </c>
      <c r="AE62" s="302"/>
      <c r="AG62" s="111">
        <f t="shared" si="13"/>
        <v>2068</v>
      </c>
      <c r="AH62" s="126">
        <f t="shared" si="5"/>
        <v>0</v>
      </c>
    </row>
    <row r="63" spans="1:34" s="127" customFormat="1" ht="21" customHeight="1">
      <c r="A63" s="303" t="s">
        <v>429</v>
      </c>
      <c r="B63" s="307" t="s">
        <v>691</v>
      </c>
      <c r="C63" s="300">
        <f t="shared" si="10"/>
        <v>2305</v>
      </c>
      <c r="D63" s="300"/>
      <c r="E63" s="300">
        <f t="shared" si="11"/>
        <v>2305</v>
      </c>
      <c r="F63" s="300">
        <v>2305</v>
      </c>
      <c r="G63" s="300"/>
      <c r="H63" s="300"/>
      <c r="I63" s="300"/>
      <c r="J63" s="300"/>
      <c r="K63" s="300">
        <f t="shared" si="8"/>
        <v>0</v>
      </c>
      <c r="L63" s="300"/>
      <c r="M63" s="300"/>
      <c r="N63" s="300">
        <f t="shared" si="14"/>
        <v>2115</v>
      </c>
      <c r="O63" s="300"/>
      <c r="P63" s="301">
        <f t="shared" si="12"/>
        <v>2115</v>
      </c>
      <c r="Q63" s="300">
        <v>2115</v>
      </c>
      <c r="R63" s="300"/>
      <c r="S63" s="300"/>
      <c r="T63" s="300"/>
      <c r="U63" s="300">
        <f t="shared" si="16"/>
        <v>0</v>
      </c>
      <c r="V63" s="300"/>
      <c r="W63" s="300"/>
      <c r="X63" s="300"/>
      <c r="Y63" s="300"/>
      <c r="Z63" s="300"/>
      <c r="AA63" s="300"/>
      <c r="AB63" s="302">
        <f t="shared" si="15"/>
        <v>91.75704989154012</v>
      </c>
      <c r="AC63" s="302"/>
      <c r="AD63" s="302">
        <f t="shared" si="3"/>
        <v>91.75704989154012</v>
      </c>
      <c r="AE63" s="302"/>
      <c r="AG63" s="111">
        <f t="shared" si="13"/>
        <v>4610</v>
      </c>
      <c r="AH63" s="126">
        <f t="shared" si="5"/>
        <v>0</v>
      </c>
    </row>
    <row r="64" spans="1:34" s="127" customFormat="1" ht="27.75" customHeight="1">
      <c r="A64" s="298" t="s">
        <v>430</v>
      </c>
      <c r="B64" s="307" t="s">
        <v>236</v>
      </c>
      <c r="C64" s="300">
        <f t="shared" si="10"/>
        <v>322</v>
      </c>
      <c r="D64" s="300"/>
      <c r="E64" s="300">
        <f t="shared" si="11"/>
        <v>322</v>
      </c>
      <c r="F64" s="300">
        <v>322</v>
      </c>
      <c r="G64" s="300"/>
      <c r="H64" s="300"/>
      <c r="I64" s="300"/>
      <c r="J64" s="300"/>
      <c r="K64" s="300">
        <f t="shared" si="8"/>
        <v>0</v>
      </c>
      <c r="L64" s="300"/>
      <c r="M64" s="300"/>
      <c r="N64" s="300">
        <f t="shared" si="14"/>
        <v>309</v>
      </c>
      <c r="O64" s="300"/>
      <c r="P64" s="301">
        <f t="shared" si="12"/>
        <v>309</v>
      </c>
      <c r="Q64" s="300">
        <v>309</v>
      </c>
      <c r="R64" s="300"/>
      <c r="S64" s="300"/>
      <c r="T64" s="300"/>
      <c r="U64" s="300">
        <f t="shared" si="16"/>
        <v>0</v>
      </c>
      <c r="V64" s="300"/>
      <c r="W64" s="300"/>
      <c r="X64" s="300"/>
      <c r="Y64" s="300"/>
      <c r="Z64" s="300"/>
      <c r="AA64" s="300"/>
      <c r="AB64" s="302">
        <f t="shared" si="15"/>
        <v>95.962732919254648</v>
      </c>
      <c r="AC64" s="302"/>
      <c r="AD64" s="302">
        <f t="shared" si="3"/>
        <v>95.962732919254648</v>
      </c>
      <c r="AE64" s="302"/>
      <c r="AG64" s="111">
        <f t="shared" si="13"/>
        <v>644</v>
      </c>
      <c r="AH64" s="126">
        <f t="shared" si="5"/>
        <v>0</v>
      </c>
    </row>
    <row r="65" spans="1:34" s="127" customFormat="1" ht="24.75" customHeight="1">
      <c r="A65" s="303" t="s">
        <v>431</v>
      </c>
      <c r="B65" s="307" t="s">
        <v>237</v>
      </c>
      <c r="C65" s="300">
        <f t="shared" si="10"/>
        <v>1116</v>
      </c>
      <c r="D65" s="300"/>
      <c r="E65" s="300">
        <f t="shared" si="11"/>
        <v>1116</v>
      </c>
      <c r="F65" s="300">
        <v>1116</v>
      </c>
      <c r="G65" s="300"/>
      <c r="H65" s="300"/>
      <c r="I65" s="300"/>
      <c r="J65" s="300"/>
      <c r="K65" s="300">
        <f t="shared" si="8"/>
        <v>0</v>
      </c>
      <c r="L65" s="300"/>
      <c r="M65" s="300"/>
      <c r="N65" s="300">
        <f t="shared" si="14"/>
        <v>1435.8530940000001</v>
      </c>
      <c r="O65" s="300"/>
      <c r="P65" s="301">
        <f t="shared" si="12"/>
        <v>1435.8530940000001</v>
      </c>
      <c r="Q65" s="300">
        <v>1435.8530940000001</v>
      </c>
      <c r="R65" s="300"/>
      <c r="S65" s="300"/>
      <c r="T65" s="300"/>
      <c r="U65" s="300">
        <f t="shared" si="16"/>
        <v>0</v>
      </c>
      <c r="V65" s="300"/>
      <c r="W65" s="300"/>
      <c r="X65" s="300"/>
      <c r="Y65" s="300"/>
      <c r="Z65" s="300"/>
      <c r="AA65" s="300"/>
      <c r="AB65" s="302">
        <f t="shared" si="15"/>
        <v>128.66067150537634</v>
      </c>
      <c r="AC65" s="302"/>
      <c r="AD65" s="302">
        <f t="shared" si="3"/>
        <v>128.66067150537634</v>
      </c>
      <c r="AE65" s="302"/>
      <c r="AG65" s="111">
        <f t="shared" si="13"/>
        <v>2232</v>
      </c>
      <c r="AH65" s="126">
        <f t="shared" si="5"/>
        <v>0</v>
      </c>
    </row>
    <row r="66" spans="1:34" s="127" customFormat="1" ht="34.5" customHeight="1">
      <c r="A66" s="298" t="s">
        <v>432</v>
      </c>
      <c r="B66" s="308" t="s">
        <v>725</v>
      </c>
      <c r="C66" s="300">
        <f t="shared" si="10"/>
        <v>147</v>
      </c>
      <c r="D66" s="300"/>
      <c r="E66" s="300">
        <f t="shared" si="11"/>
        <v>147</v>
      </c>
      <c r="F66" s="300">
        <f>106+41</f>
        <v>147</v>
      </c>
      <c r="G66" s="300"/>
      <c r="H66" s="300"/>
      <c r="I66" s="300"/>
      <c r="J66" s="300"/>
      <c r="K66" s="300">
        <f t="shared" si="8"/>
        <v>0</v>
      </c>
      <c r="L66" s="300"/>
      <c r="M66" s="300"/>
      <c r="N66" s="300">
        <f t="shared" si="14"/>
        <v>73.015000000000001</v>
      </c>
      <c r="O66" s="300"/>
      <c r="P66" s="301">
        <f t="shared" si="12"/>
        <v>73.015000000000001</v>
      </c>
      <c r="Q66" s="300">
        <v>73.015000000000001</v>
      </c>
      <c r="R66" s="300"/>
      <c r="S66" s="300"/>
      <c r="T66" s="300"/>
      <c r="U66" s="300">
        <f t="shared" si="16"/>
        <v>0</v>
      </c>
      <c r="V66" s="300"/>
      <c r="W66" s="300"/>
      <c r="X66" s="300"/>
      <c r="Y66" s="300"/>
      <c r="Z66" s="300"/>
      <c r="AA66" s="300"/>
      <c r="AB66" s="302">
        <f t="shared" si="15"/>
        <v>49.670068027210888</v>
      </c>
      <c r="AC66" s="302"/>
      <c r="AD66" s="302">
        <f t="shared" si="3"/>
        <v>49.670068027210888</v>
      </c>
      <c r="AE66" s="302"/>
      <c r="AG66" s="111">
        <f t="shared" si="13"/>
        <v>294</v>
      </c>
      <c r="AH66" s="126">
        <f t="shared" si="5"/>
        <v>0</v>
      </c>
    </row>
    <row r="67" spans="1:34" s="127" customFormat="1" ht="21" customHeight="1">
      <c r="A67" s="298" t="s">
        <v>433</v>
      </c>
      <c r="B67" s="333" t="s">
        <v>238</v>
      </c>
      <c r="C67" s="300">
        <f t="shared" si="10"/>
        <v>43</v>
      </c>
      <c r="D67" s="300"/>
      <c r="E67" s="300">
        <f t="shared" si="11"/>
        <v>43</v>
      </c>
      <c r="F67" s="300">
        <v>43</v>
      </c>
      <c r="G67" s="300"/>
      <c r="H67" s="300"/>
      <c r="I67" s="300"/>
      <c r="J67" s="300"/>
      <c r="K67" s="300">
        <f t="shared" si="8"/>
        <v>0</v>
      </c>
      <c r="L67" s="300"/>
      <c r="M67" s="300"/>
      <c r="N67" s="300">
        <f t="shared" si="14"/>
        <v>17.734999999999999</v>
      </c>
      <c r="O67" s="300"/>
      <c r="P67" s="301">
        <f t="shared" si="12"/>
        <v>17.734999999999999</v>
      </c>
      <c r="Q67" s="300">
        <v>17.734999999999999</v>
      </c>
      <c r="R67" s="300"/>
      <c r="S67" s="300"/>
      <c r="T67" s="300"/>
      <c r="U67" s="300">
        <f t="shared" si="16"/>
        <v>0</v>
      </c>
      <c r="V67" s="300"/>
      <c r="W67" s="300"/>
      <c r="X67" s="300"/>
      <c r="Y67" s="300"/>
      <c r="Z67" s="300"/>
      <c r="AA67" s="300"/>
      <c r="AB67" s="302">
        <f t="shared" si="15"/>
        <v>41.244186046511629</v>
      </c>
      <c r="AC67" s="302" t="e">
        <f t="shared" si="15"/>
        <v>#DIV/0!</v>
      </c>
      <c r="AD67" s="302"/>
      <c r="AE67" s="302"/>
      <c r="AG67" s="111">
        <f t="shared" si="13"/>
        <v>86</v>
      </c>
      <c r="AH67" s="126">
        <f t="shared" si="5"/>
        <v>0</v>
      </c>
    </row>
    <row r="68" spans="1:34" s="127" customFormat="1" ht="25.5" customHeight="1">
      <c r="A68" s="303" t="s">
        <v>434</v>
      </c>
      <c r="B68" s="309" t="s">
        <v>239</v>
      </c>
      <c r="C68" s="300">
        <f t="shared" si="10"/>
        <v>343</v>
      </c>
      <c r="D68" s="300"/>
      <c r="E68" s="300">
        <f t="shared" si="11"/>
        <v>343</v>
      </c>
      <c r="F68" s="300">
        <v>343</v>
      </c>
      <c r="G68" s="300"/>
      <c r="H68" s="300"/>
      <c r="I68" s="300"/>
      <c r="J68" s="300"/>
      <c r="K68" s="300">
        <f t="shared" si="8"/>
        <v>0</v>
      </c>
      <c r="L68" s="300"/>
      <c r="M68" s="300"/>
      <c r="N68" s="300">
        <f t="shared" si="14"/>
        <v>287.07130000000001</v>
      </c>
      <c r="O68" s="300"/>
      <c r="P68" s="301">
        <f t="shared" si="12"/>
        <v>287.07130000000001</v>
      </c>
      <c r="Q68" s="300">
        <v>287.07130000000001</v>
      </c>
      <c r="R68" s="300"/>
      <c r="S68" s="300"/>
      <c r="T68" s="300"/>
      <c r="U68" s="300">
        <f t="shared" si="16"/>
        <v>0</v>
      </c>
      <c r="V68" s="300"/>
      <c r="W68" s="300"/>
      <c r="X68" s="300"/>
      <c r="Y68" s="300"/>
      <c r="Z68" s="300"/>
      <c r="AA68" s="300"/>
      <c r="AB68" s="302">
        <f t="shared" si="15"/>
        <v>83.694256559766757</v>
      </c>
      <c r="AC68" s="302" t="e">
        <f t="shared" si="15"/>
        <v>#DIV/0!</v>
      </c>
      <c r="AD68" s="302">
        <f t="shared" si="3"/>
        <v>83.694256559766757</v>
      </c>
      <c r="AE68" s="302"/>
      <c r="AG68" s="111">
        <f t="shared" si="13"/>
        <v>686</v>
      </c>
      <c r="AH68" s="126">
        <f t="shared" si="5"/>
        <v>0</v>
      </c>
    </row>
    <row r="69" spans="1:34" s="127" customFormat="1" ht="25.5" customHeight="1">
      <c r="A69" s="298" t="s">
        <v>435</v>
      </c>
      <c r="B69" s="310" t="s">
        <v>240</v>
      </c>
      <c r="C69" s="300">
        <f t="shared" si="10"/>
        <v>1870</v>
      </c>
      <c r="D69" s="300"/>
      <c r="E69" s="300">
        <f t="shared" si="11"/>
        <v>1870</v>
      </c>
      <c r="F69" s="300">
        <v>1835</v>
      </c>
      <c r="G69" s="300"/>
      <c r="H69" s="300">
        <v>35</v>
      </c>
      <c r="I69" s="300"/>
      <c r="J69" s="300"/>
      <c r="K69" s="300">
        <f t="shared" si="8"/>
        <v>0</v>
      </c>
      <c r="L69" s="300"/>
      <c r="M69" s="300"/>
      <c r="N69" s="300">
        <f t="shared" si="14"/>
        <v>2020.4</v>
      </c>
      <c r="O69" s="300"/>
      <c r="P69" s="301">
        <f t="shared" si="12"/>
        <v>2020.4</v>
      </c>
      <c r="Q69" s="300">
        <v>2020.4</v>
      </c>
      <c r="R69" s="300"/>
      <c r="S69" s="300"/>
      <c r="T69" s="300"/>
      <c r="U69" s="300">
        <f t="shared" si="16"/>
        <v>0</v>
      </c>
      <c r="V69" s="300"/>
      <c r="W69" s="300"/>
      <c r="X69" s="300"/>
      <c r="Y69" s="300"/>
      <c r="Z69" s="300"/>
      <c r="AA69" s="300"/>
      <c r="AB69" s="302">
        <f t="shared" si="15"/>
        <v>108.04278074866311</v>
      </c>
      <c r="AC69" s="302" t="e">
        <f t="shared" si="15"/>
        <v>#DIV/0!</v>
      </c>
      <c r="AD69" s="302">
        <f t="shared" si="3"/>
        <v>108.04278074866311</v>
      </c>
      <c r="AE69" s="302"/>
      <c r="AG69" s="111">
        <f t="shared" si="13"/>
        <v>3705</v>
      </c>
      <c r="AH69" s="126">
        <f t="shared" si="5"/>
        <v>0</v>
      </c>
    </row>
    <row r="70" spans="1:34" s="127" customFormat="1" ht="25.5" customHeight="1">
      <c r="A70" s="303" t="s">
        <v>436</v>
      </c>
      <c r="B70" s="334" t="s">
        <v>692</v>
      </c>
      <c r="C70" s="300">
        <f t="shared" si="10"/>
        <v>1509</v>
      </c>
      <c r="D70" s="335"/>
      <c r="E70" s="300">
        <f t="shared" si="11"/>
        <v>1509</v>
      </c>
      <c r="F70" s="300">
        <v>1509</v>
      </c>
      <c r="G70" s="300"/>
      <c r="H70" s="300"/>
      <c r="I70" s="300"/>
      <c r="J70" s="300"/>
      <c r="K70" s="300">
        <f t="shared" si="8"/>
        <v>0</v>
      </c>
      <c r="L70" s="300"/>
      <c r="M70" s="300"/>
      <c r="N70" s="300">
        <f t="shared" si="14"/>
        <v>1993.2980789999997</v>
      </c>
      <c r="O70" s="300"/>
      <c r="P70" s="301">
        <f t="shared" si="12"/>
        <v>1514.4324969999998</v>
      </c>
      <c r="Q70" s="300">
        <f>1993.298079-478.865582</f>
        <v>1514.4324969999998</v>
      </c>
      <c r="R70" s="300"/>
      <c r="S70" s="300"/>
      <c r="T70" s="300"/>
      <c r="U70" s="300">
        <f t="shared" si="16"/>
        <v>478.86558200000002</v>
      </c>
      <c r="V70" s="300"/>
      <c r="W70" s="300">
        <v>478.86558200000002</v>
      </c>
      <c r="X70" s="300"/>
      <c r="Y70" s="300"/>
      <c r="Z70" s="300"/>
      <c r="AA70" s="300"/>
      <c r="AB70" s="302">
        <f t="shared" si="15"/>
        <v>132.09397475149103</v>
      </c>
      <c r="AC70" s="302" t="e">
        <f t="shared" si="15"/>
        <v>#DIV/0!</v>
      </c>
      <c r="AD70" s="302"/>
      <c r="AE70" s="302"/>
      <c r="AG70" s="111">
        <f t="shared" si="13"/>
        <v>3018</v>
      </c>
      <c r="AH70" s="126">
        <f t="shared" si="5"/>
        <v>0</v>
      </c>
    </row>
    <row r="71" spans="1:34" s="127" customFormat="1" ht="22.5" customHeight="1">
      <c r="A71" s="298" t="s">
        <v>437</v>
      </c>
      <c r="B71" s="307" t="s">
        <v>242</v>
      </c>
      <c r="C71" s="300">
        <f t="shared" si="10"/>
        <v>65</v>
      </c>
      <c r="D71" s="300"/>
      <c r="E71" s="300">
        <f t="shared" si="11"/>
        <v>65</v>
      </c>
      <c r="F71" s="300">
        <v>65</v>
      </c>
      <c r="G71" s="300"/>
      <c r="H71" s="300"/>
      <c r="I71" s="300"/>
      <c r="J71" s="300"/>
      <c r="K71" s="300">
        <f t="shared" si="8"/>
        <v>0</v>
      </c>
      <c r="L71" s="300"/>
      <c r="M71" s="300"/>
      <c r="N71" s="300">
        <f t="shared" si="14"/>
        <v>58</v>
      </c>
      <c r="O71" s="300"/>
      <c r="P71" s="301">
        <f t="shared" si="12"/>
        <v>58</v>
      </c>
      <c r="Q71" s="300">
        <v>58</v>
      </c>
      <c r="R71" s="300"/>
      <c r="S71" s="300"/>
      <c r="T71" s="300"/>
      <c r="U71" s="300">
        <f t="shared" si="16"/>
        <v>0</v>
      </c>
      <c r="V71" s="300"/>
      <c r="W71" s="300"/>
      <c r="X71" s="300"/>
      <c r="Y71" s="300"/>
      <c r="Z71" s="300"/>
      <c r="AA71" s="300"/>
      <c r="AB71" s="302">
        <f t="shared" si="15"/>
        <v>89.230769230769226</v>
      </c>
      <c r="AC71" s="302" t="e">
        <f t="shared" si="15"/>
        <v>#DIV/0!</v>
      </c>
      <c r="AD71" s="302">
        <f t="shared" si="3"/>
        <v>89.230769230769226</v>
      </c>
      <c r="AE71" s="302"/>
      <c r="AG71" s="111">
        <f t="shared" si="13"/>
        <v>130</v>
      </c>
      <c r="AH71" s="126">
        <f t="shared" si="5"/>
        <v>0</v>
      </c>
    </row>
    <row r="72" spans="1:34" s="127" customFormat="1" ht="33.75" customHeight="1">
      <c r="A72" s="303" t="s">
        <v>438</v>
      </c>
      <c r="B72" s="333" t="s">
        <v>243</v>
      </c>
      <c r="C72" s="300">
        <f t="shared" si="10"/>
        <v>0</v>
      </c>
      <c r="D72" s="300"/>
      <c r="E72" s="300">
        <f t="shared" si="11"/>
        <v>0</v>
      </c>
      <c r="F72" s="300"/>
      <c r="G72" s="300"/>
      <c r="H72" s="300"/>
      <c r="I72" s="300"/>
      <c r="J72" s="300"/>
      <c r="K72" s="300">
        <f t="shared" si="8"/>
        <v>0</v>
      </c>
      <c r="L72" s="300"/>
      <c r="M72" s="300"/>
      <c r="N72" s="300">
        <f t="shared" si="14"/>
        <v>56.51896</v>
      </c>
      <c r="O72" s="300"/>
      <c r="P72" s="301">
        <f t="shared" si="12"/>
        <v>56.51896</v>
      </c>
      <c r="Q72" s="300"/>
      <c r="R72" s="300">
        <v>56.51896</v>
      </c>
      <c r="S72" s="300"/>
      <c r="T72" s="300"/>
      <c r="U72" s="300">
        <f t="shared" si="16"/>
        <v>0</v>
      </c>
      <c r="V72" s="300"/>
      <c r="W72" s="300"/>
      <c r="X72" s="300"/>
      <c r="Y72" s="300"/>
      <c r="Z72" s="300"/>
      <c r="AA72" s="300"/>
      <c r="AB72" s="302" t="e">
        <f t="shared" si="15"/>
        <v>#DIV/0!</v>
      </c>
      <c r="AC72" s="302" t="e">
        <f t="shared" si="15"/>
        <v>#DIV/0!</v>
      </c>
      <c r="AD72" s="302"/>
      <c r="AE72" s="302"/>
      <c r="AG72" s="111">
        <f t="shared" si="13"/>
        <v>0</v>
      </c>
      <c r="AH72" s="126">
        <f t="shared" si="5"/>
        <v>0</v>
      </c>
    </row>
    <row r="73" spans="1:34" s="127" customFormat="1" ht="35.25" customHeight="1">
      <c r="A73" s="298" t="s">
        <v>439</v>
      </c>
      <c r="B73" s="336" t="s">
        <v>727</v>
      </c>
      <c r="C73" s="300">
        <f t="shared" si="10"/>
        <v>54</v>
      </c>
      <c r="D73" s="300"/>
      <c r="E73" s="300">
        <f t="shared" si="11"/>
        <v>54</v>
      </c>
      <c r="F73" s="300">
        <f>34+20</f>
        <v>54</v>
      </c>
      <c r="G73" s="300"/>
      <c r="H73" s="300"/>
      <c r="I73" s="300"/>
      <c r="J73" s="300"/>
      <c r="K73" s="300">
        <f t="shared" si="8"/>
        <v>0</v>
      </c>
      <c r="L73" s="300"/>
      <c r="M73" s="300"/>
      <c r="N73" s="300">
        <f t="shared" si="14"/>
        <v>104</v>
      </c>
      <c r="O73" s="300"/>
      <c r="P73" s="301">
        <f t="shared" si="12"/>
        <v>104</v>
      </c>
      <c r="Q73" s="300"/>
      <c r="R73" s="300">
        <v>104</v>
      </c>
      <c r="S73" s="300"/>
      <c r="T73" s="300"/>
      <c r="U73" s="300">
        <f t="shared" si="16"/>
        <v>0</v>
      </c>
      <c r="V73" s="300"/>
      <c r="W73" s="300"/>
      <c r="X73" s="300"/>
      <c r="Y73" s="300"/>
      <c r="Z73" s="300"/>
      <c r="AA73" s="300"/>
      <c r="AB73" s="302">
        <f t="shared" si="15"/>
        <v>192.59259259259258</v>
      </c>
      <c r="AC73" s="302" t="e">
        <f t="shared" si="15"/>
        <v>#DIV/0!</v>
      </c>
      <c r="AD73" s="302"/>
      <c r="AE73" s="302"/>
      <c r="AG73" s="111">
        <f t="shared" si="13"/>
        <v>108</v>
      </c>
      <c r="AH73" s="126">
        <f t="shared" si="5"/>
        <v>0</v>
      </c>
    </row>
    <row r="74" spans="1:34" s="127" customFormat="1" ht="30" customHeight="1">
      <c r="A74" s="303" t="s">
        <v>440</v>
      </c>
      <c r="B74" s="307" t="s">
        <v>693</v>
      </c>
      <c r="C74" s="300">
        <f t="shared" si="10"/>
        <v>375</v>
      </c>
      <c r="D74" s="300"/>
      <c r="E74" s="300">
        <f t="shared" si="11"/>
        <v>375</v>
      </c>
      <c r="F74" s="300">
        <v>375</v>
      </c>
      <c r="G74" s="300"/>
      <c r="H74" s="300"/>
      <c r="I74" s="300"/>
      <c r="J74" s="300"/>
      <c r="K74" s="300">
        <f t="shared" si="8"/>
        <v>0</v>
      </c>
      <c r="L74" s="300"/>
      <c r="M74" s="300"/>
      <c r="N74" s="300">
        <f t="shared" si="14"/>
        <v>370.78577899999999</v>
      </c>
      <c r="O74" s="300"/>
      <c r="P74" s="301">
        <f t="shared" si="12"/>
        <v>370.78577899999999</v>
      </c>
      <c r="Q74" s="300">
        <v>370.78577899999999</v>
      </c>
      <c r="R74" s="300"/>
      <c r="S74" s="300"/>
      <c r="T74" s="300"/>
      <c r="U74" s="300">
        <f t="shared" si="16"/>
        <v>0</v>
      </c>
      <c r="V74" s="300"/>
      <c r="W74" s="300"/>
      <c r="X74" s="300"/>
      <c r="Y74" s="300"/>
      <c r="Z74" s="300"/>
      <c r="AA74" s="300"/>
      <c r="AB74" s="302">
        <f t="shared" si="15"/>
        <v>98.876207733333331</v>
      </c>
      <c r="AC74" s="302" t="e">
        <f t="shared" si="15"/>
        <v>#DIV/0!</v>
      </c>
      <c r="AD74" s="302"/>
      <c r="AE74" s="302"/>
      <c r="AG74" s="111">
        <f t="shared" si="13"/>
        <v>750</v>
      </c>
      <c r="AH74" s="126">
        <f t="shared" si="5"/>
        <v>0</v>
      </c>
    </row>
    <row r="75" spans="1:34" s="127" customFormat="1" ht="21" customHeight="1">
      <c r="A75" s="298" t="s">
        <v>441</v>
      </c>
      <c r="B75" s="307" t="s">
        <v>471</v>
      </c>
      <c r="C75" s="300">
        <f t="shared" si="10"/>
        <v>200</v>
      </c>
      <c r="D75" s="300"/>
      <c r="E75" s="300">
        <f t="shared" si="11"/>
        <v>200</v>
      </c>
      <c r="F75" s="300">
        <v>200</v>
      </c>
      <c r="G75" s="300"/>
      <c r="H75" s="300"/>
      <c r="I75" s="300"/>
      <c r="J75" s="300"/>
      <c r="K75" s="300">
        <f t="shared" si="8"/>
        <v>0</v>
      </c>
      <c r="L75" s="300"/>
      <c r="M75" s="300"/>
      <c r="N75" s="300">
        <f t="shared" si="14"/>
        <v>180</v>
      </c>
      <c r="O75" s="300"/>
      <c r="P75" s="301">
        <f t="shared" si="12"/>
        <v>180</v>
      </c>
      <c r="Q75" s="300"/>
      <c r="R75" s="300">
        <v>180</v>
      </c>
      <c r="S75" s="300"/>
      <c r="T75" s="300"/>
      <c r="U75" s="300">
        <f t="shared" si="16"/>
        <v>0</v>
      </c>
      <c r="V75" s="300"/>
      <c r="W75" s="300"/>
      <c r="X75" s="300"/>
      <c r="Y75" s="300"/>
      <c r="Z75" s="300"/>
      <c r="AA75" s="300"/>
      <c r="AB75" s="302">
        <f t="shared" si="15"/>
        <v>90</v>
      </c>
      <c r="AC75" s="302"/>
      <c r="AD75" s="302">
        <f t="shared" ref="AD75:AD113" si="17">P75/E75%</f>
        <v>90</v>
      </c>
      <c r="AE75" s="302"/>
      <c r="AG75" s="111">
        <f t="shared" si="13"/>
        <v>400</v>
      </c>
      <c r="AH75" s="126">
        <f t="shared" si="5"/>
        <v>0</v>
      </c>
    </row>
    <row r="76" spans="1:34" s="127" customFormat="1" ht="24.75" customHeight="1">
      <c r="A76" s="303" t="s">
        <v>442</v>
      </c>
      <c r="B76" s="307" t="s">
        <v>694</v>
      </c>
      <c r="C76" s="300">
        <f t="shared" si="10"/>
        <v>60</v>
      </c>
      <c r="D76" s="300"/>
      <c r="E76" s="300">
        <f t="shared" si="11"/>
        <v>60</v>
      </c>
      <c r="F76" s="300">
        <v>60</v>
      </c>
      <c r="G76" s="300"/>
      <c r="H76" s="300"/>
      <c r="I76" s="300"/>
      <c r="J76" s="300"/>
      <c r="K76" s="300">
        <f t="shared" si="8"/>
        <v>0</v>
      </c>
      <c r="L76" s="300"/>
      <c r="M76" s="300"/>
      <c r="N76" s="300">
        <f t="shared" si="14"/>
        <v>0</v>
      </c>
      <c r="O76" s="300"/>
      <c r="P76" s="301">
        <f t="shared" si="12"/>
        <v>0</v>
      </c>
      <c r="Q76" s="300"/>
      <c r="R76" s="300"/>
      <c r="S76" s="300"/>
      <c r="T76" s="300"/>
      <c r="U76" s="300">
        <f t="shared" si="16"/>
        <v>0</v>
      </c>
      <c r="V76" s="300"/>
      <c r="W76" s="300"/>
      <c r="X76" s="300"/>
      <c r="Y76" s="300"/>
      <c r="Z76" s="300"/>
      <c r="AA76" s="300"/>
      <c r="AB76" s="302"/>
      <c r="AC76" s="302"/>
      <c r="AD76" s="302"/>
      <c r="AE76" s="302"/>
      <c r="AG76" s="111">
        <f t="shared" si="13"/>
        <v>120</v>
      </c>
      <c r="AH76" s="126">
        <f t="shared" ref="AH76:AH122" si="18">N76-O76-P76-S76-T76-U76</f>
        <v>0</v>
      </c>
    </row>
    <row r="77" spans="1:34" s="127" customFormat="1" ht="24.75" customHeight="1">
      <c r="A77" s="298" t="s">
        <v>443</v>
      </c>
      <c r="B77" s="309" t="s">
        <v>695</v>
      </c>
      <c r="C77" s="300">
        <f t="shared" si="10"/>
        <v>229.610626</v>
      </c>
      <c r="D77" s="300"/>
      <c r="E77" s="300">
        <f t="shared" si="11"/>
        <v>229.610626</v>
      </c>
      <c r="F77" s="300">
        <v>229.610626</v>
      </c>
      <c r="G77" s="300"/>
      <c r="H77" s="300"/>
      <c r="I77" s="300"/>
      <c r="J77" s="300"/>
      <c r="K77" s="300">
        <f t="shared" si="8"/>
        <v>0</v>
      </c>
      <c r="L77" s="300"/>
      <c r="M77" s="300"/>
      <c r="N77" s="300">
        <f t="shared" si="14"/>
        <v>285</v>
      </c>
      <c r="O77" s="300"/>
      <c r="P77" s="301">
        <f t="shared" si="12"/>
        <v>285</v>
      </c>
      <c r="Q77" s="300"/>
      <c r="R77" s="300">
        <v>285</v>
      </c>
      <c r="S77" s="300"/>
      <c r="T77" s="300"/>
      <c r="U77" s="300">
        <f t="shared" si="16"/>
        <v>0</v>
      </c>
      <c r="V77" s="300"/>
      <c r="W77" s="300"/>
      <c r="X77" s="300"/>
      <c r="Y77" s="300"/>
      <c r="Z77" s="300"/>
      <c r="AA77" s="300"/>
      <c r="AB77" s="302">
        <f t="shared" si="15"/>
        <v>124.12317537952271</v>
      </c>
      <c r="AC77" s="302"/>
      <c r="AD77" s="302">
        <f t="shared" si="17"/>
        <v>124.12317537952271</v>
      </c>
      <c r="AE77" s="302"/>
      <c r="AG77" s="111">
        <f t="shared" si="13"/>
        <v>459.22125199999999</v>
      </c>
      <c r="AH77" s="126">
        <f t="shared" si="18"/>
        <v>0</v>
      </c>
    </row>
    <row r="78" spans="1:34" s="127" customFormat="1" ht="24.75" customHeight="1">
      <c r="A78" s="303" t="s">
        <v>444</v>
      </c>
      <c r="B78" s="307" t="s">
        <v>284</v>
      </c>
      <c r="C78" s="300">
        <f t="shared" si="10"/>
        <v>103</v>
      </c>
      <c r="D78" s="300"/>
      <c r="E78" s="300">
        <f t="shared" si="11"/>
        <v>103</v>
      </c>
      <c r="F78" s="300">
        <v>103</v>
      </c>
      <c r="G78" s="300"/>
      <c r="H78" s="300"/>
      <c r="I78" s="300"/>
      <c r="J78" s="300"/>
      <c r="K78" s="300">
        <f t="shared" ref="K78:K122" si="19">L78+M78</f>
        <v>0</v>
      </c>
      <c r="L78" s="300"/>
      <c r="M78" s="300"/>
      <c r="N78" s="300">
        <f t="shared" si="14"/>
        <v>114</v>
      </c>
      <c r="O78" s="300"/>
      <c r="P78" s="301">
        <f t="shared" si="12"/>
        <v>114</v>
      </c>
      <c r="Q78" s="300"/>
      <c r="R78" s="300">
        <v>114</v>
      </c>
      <c r="S78" s="300"/>
      <c r="T78" s="300"/>
      <c r="U78" s="300">
        <f t="shared" si="16"/>
        <v>0</v>
      </c>
      <c r="V78" s="300"/>
      <c r="W78" s="300"/>
      <c r="X78" s="300"/>
      <c r="Y78" s="300"/>
      <c r="Z78" s="300"/>
      <c r="AA78" s="300"/>
      <c r="AB78" s="302"/>
      <c r="AC78" s="302"/>
      <c r="AD78" s="302"/>
      <c r="AE78" s="302"/>
      <c r="AG78" s="111">
        <f t="shared" si="13"/>
        <v>206</v>
      </c>
      <c r="AH78" s="126">
        <f t="shared" si="18"/>
        <v>0</v>
      </c>
    </row>
    <row r="79" spans="1:34" s="127" customFormat="1" ht="24.75" customHeight="1">
      <c r="A79" s="298" t="s">
        <v>445</v>
      </c>
      <c r="B79" s="307" t="s">
        <v>285</v>
      </c>
      <c r="C79" s="300">
        <f t="shared" ref="C79:C115" si="20">D79+E79+I79+J79+K79</f>
        <v>182.876451</v>
      </c>
      <c r="D79" s="300"/>
      <c r="E79" s="300">
        <f t="shared" ref="E79:E97" si="21">F79+G79+H79</f>
        <v>182.876451</v>
      </c>
      <c r="F79" s="300">
        <v>182.876451</v>
      </c>
      <c r="G79" s="300"/>
      <c r="H79" s="300"/>
      <c r="I79" s="300"/>
      <c r="J79" s="300"/>
      <c r="K79" s="300">
        <f t="shared" si="19"/>
        <v>0</v>
      </c>
      <c r="L79" s="300"/>
      <c r="M79" s="300"/>
      <c r="N79" s="300">
        <f t="shared" si="14"/>
        <v>3431.3844800000002</v>
      </c>
      <c r="O79" s="300"/>
      <c r="P79" s="301">
        <f t="shared" ref="P79:P97" si="22">Q79+R79</f>
        <v>177.64148000000023</v>
      </c>
      <c r="Q79" s="300"/>
      <c r="R79" s="300">
        <f>3431.38448-3253.743</f>
        <v>177.64148000000023</v>
      </c>
      <c r="S79" s="300"/>
      <c r="T79" s="300"/>
      <c r="U79" s="300">
        <f t="shared" si="16"/>
        <v>3253.7429999999999</v>
      </c>
      <c r="V79" s="300"/>
      <c r="W79" s="300">
        <v>3253.7429999999999</v>
      </c>
      <c r="X79" s="300"/>
      <c r="Y79" s="300"/>
      <c r="Z79" s="300"/>
      <c r="AA79" s="300"/>
      <c r="AB79" s="302"/>
      <c r="AC79" s="302"/>
      <c r="AD79" s="302"/>
      <c r="AE79" s="302"/>
      <c r="AG79" s="111">
        <f t="shared" ref="AG79:AG122" si="23">E79+F79</f>
        <v>365.75290200000001</v>
      </c>
      <c r="AH79" s="126">
        <f t="shared" si="18"/>
        <v>0</v>
      </c>
    </row>
    <row r="80" spans="1:34" s="127" customFormat="1" ht="24.75" customHeight="1">
      <c r="A80" s="303" t="s">
        <v>446</v>
      </c>
      <c r="B80" s="307" t="s">
        <v>286</v>
      </c>
      <c r="C80" s="300">
        <f t="shared" si="20"/>
        <v>104</v>
      </c>
      <c r="D80" s="300"/>
      <c r="E80" s="300">
        <f t="shared" si="21"/>
        <v>104</v>
      </c>
      <c r="F80" s="300">
        <v>104</v>
      </c>
      <c r="G80" s="300"/>
      <c r="H80" s="300"/>
      <c r="I80" s="300"/>
      <c r="J80" s="300"/>
      <c r="K80" s="300">
        <f t="shared" si="19"/>
        <v>0</v>
      </c>
      <c r="L80" s="300"/>
      <c r="M80" s="300"/>
      <c r="N80" s="300">
        <f t="shared" ref="N80:N91" si="24">O80+P80+S80+T80+U80</f>
        <v>4375</v>
      </c>
      <c r="O80" s="300"/>
      <c r="P80" s="301">
        <f t="shared" si="22"/>
        <v>108</v>
      </c>
      <c r="Q80" s="300"/>
      <c r="R80" s="300">
        <f>4375-4267</f>
        <v>108</v>
      </c>
      <c r="S80" s="300"/>
      <c r="T80" s="300"/>
      <c r="U80" s="300">
        <f t="shared" si="16"/>
        <v>4267</v>
      </c>
      <c r="V80" s="300"/>
      <c r="W80" s="300">
        <v>4267</v>
      </c>
      <c r="X80" s="300"/>
      <c r="Y80" s="300"/>
      <c r="Z80" s="300"/>
      <c r="AA80" s="300"/>
      <c r="AB80" s="302"/>
      <c r="AC80" s="302"/>
      <c r="AD80" s="302"/>
      <c r="AE80" s="302"/>
      <c r="AG80" s="111">
        <f t="shared" si="23"/>
        <v>208</v>
      </c>
      <c r="AH80" s="126">
        <f t="shared" si="18"/>
        <v>0</v>
      </c>
    </row>
    <row r="81" spans="1:34" s="127" customFormat="1" ht="24.75" customHeight="1">
      <c r="A81" s="298" t="s">
        <v>447</v>
      </c>
      <c r="B81" s="307" t="s">
        <v>287</v>
      </c>
      <c r="C81" s="300">
        <f t="shared" si="20"/>
        <v>108</v>
      </c>
      <c r="D81" s="300"/>
      <c r="E81" s="300">
        <f t="shared" si="21"/>
        <v>108</v>
      </c>
      <c r="F81" s="300">
        <v>108</v>
      </c>
      <c r="G81" s="300"/>
      <c r="H81" s="300"/>
      <c r="I81" s="300"/>
      <c r="J81" s="300"/>
      <c r="K81" s="300">
        <f t="shared" si="19"/>
        <v>0</v>
      </c>
      <c r="L81" s="300"/>
      <c r="M81" s="300"/>
      <c r="N81" s="300">
        <f t="shared" si="24"/>
        <v>133</v>
      </c>
      <c r="O81" s="300"/>
      <c r="P81" s="301">
        <f t="shared" si="22"/>
        <v>133</v>
      </c>
      <c r="Q81" s="300"/>
      <c r="R81" s="300">
        <v>133</v>
      </c>
      <c r="S81" s="300"/>
      <c r="T81" s="300"/>
      <c r="U81" s="300">
        <f t="shared" si="16"/>
        <v>0</v>
      </c>
      <c r="V81" s="300"/>
      <c r="W81" s="300"/>
      <c r="X81" s="300"/>
      <c r="Y81" s="300"/>
      <c r="Z81" s="300"/>
      <c r="AA81" s="300"/>
      <c r="AB81" s="302"/>
      <c r="AC81" s="302"/>
      <c r="AD81" s="302"/>
      <c r="AE81" s="302"/>
      <c r="AG81" s="111">
        <f t="shared" si="23"/>
        <v>216</v>
      </c>
      <c r="AH81" s="126">
        <f t="shared" si="18"/>
        <v>0</v>
      </c>
    </row>
    <row r="82" spans="1:34" s="127" customFormat="1" ht="24.75" customHeight="1">
      <c r="A82" s="303" t="s">
        <v>448</v>
      </c>
      <c r="B82" s="307" t="s">
        <v>696</v>
      </c>
      <c r="C82" s="300">
        <f t="shared" si="20"/>
        <v>168.63617500000001</v>
      </c>
      <c r="D82" s="300"/>
      <c r="E82" s="300">
        <f t="shared" si="21"/>
        <v>168.63617500000001</v>
      </c>
      <c r="F82" s="300">
        <v>168.63617500000001</v>
      </c>
      <c r="G82" s="300"/>
      <c r="H82" s="300"/>
      <c r="I82" s="300"/>
      <c r="J82" s="300"/>
      <c r="K82" s="300">
        <f t="shared" si="19"/>
        <v>0</v>
      </c>
      <c r="L82" s="300"/>
      <c r="M82" s="300"/>
      <c r="N82" s="300">
        <f t="shared" si="24"/>
        <v>1873.9264499999999</v>
      </c>
      <c r="O82" s="300"/>
      <c r="P82" s="301">
        <f t="shared" si="22"/>
        <v>618</v>
      </c>
      <c r="Q82" s="300"/>
      <c r="R82" s="300">
        <f>1873.92645-1255.92645</f>
        <v>618</v>
      </c>
      <c r="S82" s="300"/>
      <c r="T82" s="300"/>
      <c r="U82" s="300">
        <f t="shared" si="16"/>
        <v>1255.9264499999999</v>
      </c>
      <c r="V82" s="300"/>
      <c r="W82" s="300">
        <v>1255.9264499999999</v>
      </c>
      <c r="X82" s="300"/>
      <c r="Y82" s="300"/>
      <c r="Z82" s="300"/>
      <c r="AA82" s="300"/>
      <c r="AB82" s="302"/>
      <c r="AC82" s="302"/>
      <c r="AD82" s="302">
        <f t="shared" si="17"/>
        <v>366.46941262751005</v>
      </c>
      <c r="AE82" s="302"/>
      <c r="AG82" s="111">
        <f t="shared" si="23"/>
        <v>337.27235000000002</v>
      </c>
      <c r="AH82" s="126">
        <f t="shared" si="18"/>
        <v>0</v>
      </c>
    </row>
    <row r="83" spans="1:34" s="127" customFormat="1" ht="24.75" customHeight="1">
      <c r="A83" s="298" t="s">
        <v>449</v>
      </c>
      <c r="B83" s="307" t="s">
        <v>288</v>
      </c>
      <c r="C83" s="300">
        <f t="shared" si="20"/>
        <v>100.68110299999999</v>
      </c>
      <c r="D83" s="300"/>
      <c r="E83" s="300">
        <f t="shared" si="21"/>
        <v>100.68110299999999</v>
      </c>
      <c r="F83" s="300">
        <v>100.68110299999999</v>
      </c>
      <c r="G83" s="300"/>
      <c r="H83" s="300"/>
      <c r="I83" s="300"/>
      <c r="J83" s="300"/>
      <c r="K83" s="300"/>
      <c r="L83" s="300"/>
      <c r="M83" s="300"/>
      <c r="N83" s="300">
        <f t="shared" si="24"/>
        <v>5610</v>
      </c>
      <c r="O83" s="300"/>
      <c r="P83" s="301">
        <f t="shared" si="22"/>
        <v>180</v>
      </c>
      <c r="Q83" s="300"/>
      <c r="R83" s="300">
        <f>5610-5430</f>
        <v>180</v>
      </c>
      <c r="S83" s="300"/>
      <c r="T83" s="300"/>
      <c r="U83" s="300">
        <f t="shared" si="16"/>
        <v>5430</v>
      </c>
      <c r="V83" s="300"/>
      <c r="W83" s="300">
        <v>5430</v>
      </c>
      <c r="X83" s="300"/>
      <c r="Y83" s="300"/>
      <c r="Z83" s="300"/>
      <c r="AA83" s="300"/>
      <c r="AB83" s="302"/>
      <c r="AC83" s="302"/>
      <c r="AD83" s="302">
        <f t="shared" si="17"/>
        <v>178.78230833446472</v>
      </c>
      <c r="AE83" s="302"/>
      <c r="AG83" s="111">
        <f t="shared" si="23"/>
        <v>201.36220599999999</v>
      </c>
      <c r="AH83" s="126">
        <f t="shared" si="18"/>
        <v>0</v>
      </c>
    </row>
    <row r="84" spans="1:34" s="127" customFormat="1" ht="24.75" customHeight="1">
      <c r="A84" s="303" t="s">
        <v>450</v>
      </c>
      <c r="B84" s="307" t="s">
        <v>697</v>
      </c>
      <c r="C84" s="300">
        <f t="shared" si="20"/>
        <v>1050</v>
      </c>
      <c r="D84" s="300"/>
      <c r="E84" s="300">
        <f t="shared" si="21"/>
        <v>1050</v>
      </c>
      <c r="F84" s="300">
        <v>1050</v>
      </c>
      <c r="G84" s="300"/>
      <c r="H84" s="300"/>
      <c r="I84" s="300"/>
      <c r="J84" s="300"/>
      <c r="K84" s="300"/>
      <c r="L84" s="300"/>
      <c r="M84" s="300"/>
      <c r="N84" s="300">
        <f t="shared" si="24"/>
        <v>606.30999999999995</v>
      </c>
      <c r="O84" s="300"/>
      <c r="P84" s="301">
        <f t="shared" si="22"/>
        <v>606.30999999999995</v>
      </c>
      <c r="Q84" s="300"/>
      <c r="R84" s="300">
        <v>606.30999999999995</v>
      </c>
      <c r="S84" s="300"/>
      <c r="T84" s="300"/>
      <c r="U84" s="300"/>
      <c r="V84" s="300"/>
      <c r="W84" s="300"/>
      <c r="X84" s="300"/>
      <c r="Y84" s="300"/>
      <c r="Z84" s="300"/>
      <c r="AA84" s="300"/>
      <c r="AB84" s="302"/>
      <c r="AC84" s="302"/>
      <c r="AD84" s="302">
        <f t="shared" si="17"/>
        <v>57.743809523809517</v>
      </c>
      <c r="AE84" s="302"/>
      <c r="AG84" s="111">
        <f t="shared" si="23"/>
        <v>2100</v>
      </c>
      <c r="AH84" s="126">
        <f t="shared" si="18"/>
        <v>0</v>
      </c>
    </row>
    <row r="85" spans="1:34" s="127" customFormat="1" ht="24.75" customHeight="1">
      <c r="A85" s="298" t="s">
        <v>452</v>
      </c>
      <c r="B85" s="307" t="s">
        <v>698</v>
      </c>
      <c r="C85" s="300">
        <f t="shared" si="20"/>
        <v>1572</v>
      </c>
      <c r="D85" s="300"/>
      <c r="E85" s="300">
        <f t="shared" si="21"/>
        <v>1572</v>
      </c>
      <c r="F85" s="300">
        <v>1572</v>
      </c>
      <c r="G85" s="300"/>
      <c r="H85" s="300"/>
      <c r="I85" s="300"/>
      <c r="J85" s="300"/>
      <c r="K85" s="300"/>
      <c r="L85" s="300"/>
      <c r="M85" s="300"/>
      <c r="N85" s="300">
        <f t="shared" si="24"/>
        <v>2205</v>
      </c>
      <c r="O85" s="300"/>
      <c r="P85" s="301">
        <f t="shared" si="22"/>
        <v>2205</v>
      </c>
      <c r="Q85" s="300"/>
      <c r="R85" s="300">
        <v>2205</v>
      </c>
      <c r="S85" s="300"/>
      <c r="T85" s="300"/>
      <c r="U85" s="300"/>
      <c r="V85" s="300"/>
      <c r="W85" s="300"/>
      <c r="X85" s="300"/>
      <c r="Y85" s="300"/>
      <c r="Z85" s="300"/>
      <c r="AA85" s="300"/>
      <c r="AB85" s="302"/>
      <c r="AC85" s="302"/>
      <c r="AD85" s="302">
        <f t="shared" si="17"/>
        <v>140.26717557251908</v>
      </c>
      <c r="AE85" s="302"/>
      <c r="AG85" s="111">
        <f t="shared" si="23"/>
        <v>3144</v>
      </c>
      <c r="AH85" s="126">
        <f t="shared" si="18"/>
        <v>0</v>
      </c>
    </row>
    <row r="86" spans="1:34" s="127" customFormat="1" ht="24.75" customHeight="1">
      <c r="A86" s="303" t="s">
        <v>453</v>
      </c>
      <c r="B86" s="307" t="s">
        <v>473</v>
      </c>
      <c r="C86" s="300">
        <f t="shared" si="20"/>
        <v>4697.3850869999997</v>
      </c>
      <c r="D86" s="300"/>
      <c r="E86" s="300">
        <f t="shared" si="21"/>
        <v>4697.3850869999997</v>
      </c>
      <c r="F86" s="300">
        <v>4697.3850869999997</v>
      </c>
      <c r="G86" s="300"/>
      <c r="H86" s="300"/>
      <c r="I86" s="300"/>
      <c r="J86" s="300"/>
      <c r="K86" s="300"/>
      <c r="L86" s="300"/>
      <c r="M86" s="300"/>
      <c r="N86" s="300">
        <f t="shared" si="24"/>
        <v>4845</v>
      </c>
      <c r="O86" s="300"/>
      <c r="P86" s="301">
        <f t="shared" si="22"/>
        <v>4845</v>
      </c>
      <c r="Q86" s="300"/>
      <c r="R86" s="300">
        <v>4845</v>
      </c>
      <c r="S86" s="300"/>
      <c r="T86" s="300"/>
      <c r="U86" s="300"/>
      <c r="V86" s="300"/>
      <c r="W86" s="300"/>
      <c r="X86" s="300"/>
      <c r="Y86" s="300"/>
      <c r="Z86" s="300"/>
      <c r="AA86" s="300"/>
      <c r="AB86" s="302"/>
      <c r="AC86" s="302"/>
      <c r="AD86" s="302">
        <f t="shared" si="17"/>
        <v>103.14249120023231</v>
      </c>
      <c r="AE86" s="302"/>
      <c r="AG86" s="111">
        <f t="shared" si="23"/>
        <v>9394.7701739999993</v>
      </c>
      <c r="AH86" s="126">
        <f t="shared" si="18"/>
        <v>0</v>
      </c>
    </row>
    <row r="87" spans="1:34" s="127" customFormat="1" ht="24.75" customHeight="1">
      <c r="A87" s="298" t="s">
        <v>454</v>
      </c>
      <c r="B87" s="307" t="s">
        <v>699</v>
      </c>
      <c r="C87" s="300">
        <f t="shared" si="20"/>
        <v>5117.2488409999996</v>
      </c>
      <c r="D87" s="300"/>
      <c r="E87" s="300">
        <f t="shared" si="21"/>
        <v>5117.2488409999996</v>
      </c>
      <c r="F87" s="300">
        <v>5117.2488409999996</v>
      </c>
      <c r="G87" s="300"/>
      <c r="H87" s="300"/>
      <c r="I87" s="300"/>
      <c r="J87" s="300"/>
      <c r="K87" s="300"/>
      <c r="L87" s="300"/>
      <c r="M87" s="300"/>
      <c r="N87" s="300">
        <f t="shared" si="24"/>
        <v>6630</v>
      </c>
      <c r="O87" s="300"/>
      <c r="P87" s="301">
        <f t="shared" si="22"/>
        <v>6630</v>
      </c>
      <c r="Q87" s="300"/>
      <c r="R87" s="300">
        <v>6630</v>
      </c>
      <c r="S87" s="300"/>
      <c r="T87" s="300"/>
      <c r="U87" s="300"/>
      <c r="V87" s="300"/>
      <c r="W87" s="300"/>
      <c r="X87" s="300"/>
      <c r="Y87" s="300"/>
      <c r="Z87" s="300"/>
      <c r="AA87" s="300"/>
      <c r="AB87" s="302"/>
      <c r="AC87" s="302"/>
      <c r="AD87" s="302">
        <f t="shared" si="17"/>
        <v>129.56180568901905</v>
      </c>
      <c r="AE87" s="302"/>
      <c r="AG87" s="111">
        <f t="shared" si="23"/>
        <v>10234.497681999999</v>
      </c>
      <c r="AH87" s="126">
        <f t="shared" si="18"/>
        <v>0</v>
      </c>
    </row>
    <row r="88" spans="1:34" s="127" customFormat="1" ht="24.75" customHeight="1">
      <c r="A88" s="303" t="s">
        <v>455</v>
      </c>
      <c r="B88" s="307" t="s">
        <v>700</v>
      </c>
      <c r="C88" s="300">
        <f t="shared" si="20"/>
        <v>2487.6</v>
      </c>
      <c r="D88" s="300"/>
      <c r="E88" s="300">
        <f t="shared" si="21"/>
        <v>2487.6</v>
      </c>
      <c r="F88" s="300">
        <v>2487.6</v>
      </c>
      <c r="G88" s="300"/>
      <c r="H88" s="300"/>
      <c r="I88" s="300"/>
      <c r="J88" s="300"/>
      <c r="K88" s="300"/>
      <c r="L88" s="300"/>
      <c r="M88" s="300"/>
      <c r="N88" s="300">
        <f t="shared" si="24"/>
        <v>3636</v>
      </c>
      <c r="O88" s="300"/>
      <c r="P88" s="301">
        <f t="shared" si="22"/>
        <v>3636</v>
      </c>
      <c r="Q88" s="300"/>
      <c r="R88" s="300">
        <v>3636</v>
      </c>
      <c r="S88" s="300"/>
      <c r="T88" s="300"/>
      <c r="U88" s="300"/>
      <c r="V88" s="300"/>
      <c r="W88" s="300"/>
      <c r="X88" s="300"/>
      <c r="Y88" s="300"/>
      <c r="Z88" s="300"/>
      <c r="AA88" s="300"/>
      <c r="AB88" s="302"/>
      <c r="AC88" s="302"/>
      <c r="AD88" s="302">
        <f t="shared" si="17"/>
        <v>146.16497829232998</v>
      </c>
      <c r="AE88" s="302"/>
      <c r="AG88" s="111">
        <f t="shared" si="23"/>
        <v>4975.2</v>
      </c>
      <c r="AH88" s="126">
        <f t="shared" si="18"/>
        <v>0</v>
      </c>
    </row>
    <row r="89" spans="1:34" s="127" customFormat="1" ht="24.75" customHeight="1">
      <c r="A89" s="303" t="s">
        <v>456</v>
      </c>
      <c r="B89" s="307" t="s">
        <v>711</v>
      </c>
      <c r="C89" s="300">
        <f t="shared" si="20"/>
        <v>3790</v>
      </c>
      <c r="D89" s="300"/>
      <c r="E89" s="300">
        <f t="shared" si="21"/>
        <v>3790</v>
      </c>
      <c r="F89" s="300"/>
      <c r="G89" s="300">
        <v>3790</v>
      </c>
      <c r="H89" s="300"/>
      <c r="I89" s="300"/>
      <c r="J89" s="300"/>
      <c r="K89" s="300"/>
      <c r="L89" s="300"/>
      <c r="M89" s="300"/>
      <c r="N89" s="300">
        <f t="shared" si="24"/>
        <v>0</v>
      </c>
      <c r="O89" s="300"/>
      <c r="P89" s="301">
        <f t="shared" si="22"/>
        <v>0</v>
      </c>
      <c r="Q89" s="300"/>
      <c r="R89" s="300"/>
      <c r="S89" s="300"/>
      <c r="T89" s="300"/>
      <c r="U89" s="300"/>
      <c r="V89" s="300"/>
      <c r="W89" s="300"/>
      <c r="X89" s="300"/>
      <c r="Y89" s="300"/>
      <c r="Z89" s="300"/>
      <c r="AA89" s="300"/>
      <c r="AB89" s="302"/>
      <c r="AC89" s="302"/>
      <c r="AD89" s="302">
        <f t="shared" si="17"/>
        <v>0</v>
      </c>
      <c r="AE89" s="302"/>
      <c r="AG89" s="111">
        <f t="shared" si="23"/>
        <v>3790</v>
      </c>
      <c r="AH89" s="126">
        <f t="shared" si="18"/>
        <v>0</v>
      </c>
    </row>
    <row r="90" spans="1:34" s="127" customFormat="1" ht="24.75" customHeight="1">
      <c r="A90" s="303">
        <v>76</v>
      </c>
      <c r="B90" s="309" t="s">
        <v>241</v>
      </c>
      <c r="C90" s="300">
        <f t="shared" si="20"/>
        <v>0</v>
      </c>
      <c r="D90" s="300"/>
      <c r="E90" s="300">
        <f t="shared" si="21"/>
        <v>0</v>
      </c>
      <c r="F90" s="300"/>
      <c r="G90" s="300"/>
      <c r="H90" s="300"/>
      <c r="I90" s="300"/>
      <c r="J90" s="300"/>
      <c r="K90" s="300"/>
      <c r="L90" s="300"/>
      <c r="M90" s="300"/>
      <c r="N90" s="300">
        <f t="shared" si="24"/>
        <v>23.89</v>
      </c>
      <c r="O90" s="300"/>
      <c r="P90" s="301">
        <f t="shared" si="22"/>
        <v>23.89</v>
      </c>
      <c r="Q90" s="300">
        <v>23.89</v>
      </c>
      <c r="R90" s="300"/>
      <c r="S90" s="300"/>
      <c r="T90" s="300"/>
      <c r="U90" s="300"/>
      <c r="V90" s="300"/>
      <c r="W90" s="300"/>
      <c r="X90" s="300"/>
      <c r="Y90" s="300"/>
      <c r="Z90" s="300"/>
      <c r="AA90" s="300"/>
      <c r="AB90" s="302"/>
      <c r="AC90" s="302"/>
      <c r="AD90" s="302" t="e">
        <f t="shared" si="17"/>
        <v>#DIV/0!</v>
      </c>
      <c r="AE90" s="302"/>
      <c r="AG90" s="111">
        <f t="shared" si="23"/>
        <v>0</v>
      </c>
      <c r="AH90" s="126">
        <f t="shared" si="18"/>
        <v>0</v>
      </c>
    </row>
    <row r="91" spans="1:34" s="127" customFormat="1" ht="24.75" customHeight="1">
      <c r="A91" s="303" t="s">
        <v>602</v>
      </c>
      <c r="B91" s="307"/>
      <c r="C91" s="300">
        <f t="shared" si="20"/>
        <v>0</v>
      </c>
      <c r="D91" s="300"/>
      <c r="E91" s="300">
        <f t="shared" si="21"/>
        <v>0</v>
      </c>
      <c r="F91" s="300"/>
      <c r="G91" s="300"/>
      <c r="H91" s="300"/>
      <c r="I91" s="300"/>
      <c r="J91" s="300"/>
      <c r="K91" s="300"/>
      <c r="L91" s="300"/>
      <c r="M91" s="300"/>
      <c r="N91" s="300">
        <f t="shared" si="24"/>
        <v>0</v>
      </c>
      <c r="O91" s="300"/>
      <c r="P91" s="301">
        <f t="shared" si="22"/>
        <v>0</v>
      </c>
      <c r="Q91" s="300"/>
      <c r="R91" s="300"/>
      <c r="S91" s="300"/>
      <c r="T91" s="300"/>
      <c r="U91" s="300"/>
      <c r="V91" s="300"/>
      <c r="W91" s="300"/>
      <c r="X91" s="300"/>
      <c r="Y91" s="300"/>
      <c r="Z91" s="300"/>
      <c r="AA91" s="300"/>
      <c r="AB91" s="302"/>
      <c r="AC91" s="302"/>
      <c r="AD91" s="302" t="e">
        <f t="shared" si="17"/>
        <v>#DIV/0!</v>
      </c>
      <c r="AE91" s="302"/>
      <c r="AG91" s="111">
        <f t="shared" si="23"/>
        <v>0</v>
      </c>
      <c r="AH91" s="126">
        <f t="shared" si="18"/>
        <v>0</v>
      </c>
    </row>
    <row r="92" spans="1:34" s="127" customFormat="1" ht="24.75" customHeight="1">
      <c r="A92" s="303" t="s">
        <v>603</v>
      </c>
      <c r="B92" s="307"/>
      <c r="C92" s="300">
        <f t="shared" si="20"/>
        <v>0</v>
      </c>
      <c r="D92" s="300"/>
      <c r="E92" s="300">
        <f t="shared" si="21"/>
        <v>0</v>
      </c>
      <c r="F92" s="300"/>
      <c r="G92" s="300"/>
      <c r="H92" s="300"/>
      <c r="I92" s="300"/>
      <c r="J92" s="300"/>
      <c r="K92" s="300"/>
      <c r="L92" s="300"/>
      <c r="M92" s="300"/>
      <c r="N92" s="300"/>
      <c r="O92" s="300"/>
      <c r="P92" s="301">
        <f t="shared" si="22"/>
        <v>0</v>
      </c>
      <c r="Q92" s="300"/>
      <c r="R92" s="300"/>
      <c r="S92" s="300"/>
      <c r="T92" s="300"/>
      <c r="U92" s="300"/>
      <c r="V92" s="300"/>
      <c r="W92" s="300"/>
      <c r="X92" s="300"/>
      <c r="Y92" s="300"/>
      <c r="Z92" s="300"/>
      <c r="AA92" s="300"/>
      <c r="AB92" s="302"/>
      <c r="AC92" s="302"/>
      <c r="AD92" s="302" t="e">
        <f t="shared" si="17"/>
        <v>#DIV/0!</v>
      </c>
      <c r="AE92" s="302"/>
      <c r="AG92" s="111">
        <f t="shared" si="23"/>
        <v>0</v>
      </c>
      <c r="AH92" s="126">
        <f t="shared" si="18"/>
        <v>0</v>
      </c>
    </row>
    <row r="93" spans="1:34" s="127" customFormat="1" ht="24.75" customHeight="1">
      <c r="A93" s="303" t="s">
        <v>704</v>
      </c>
      <c r="B93" s="307"/>
      <c r="C93" s="300">
        <f t="shared" si="20"/>
        <v>0</v>
      </c>
      <c r="D93" s="300"/>
      <c r="E93" s="300">
        <f t="shared" si="21"/>
        <v>0</v>
      </c>
      <c r="F93" s="300"/>
      <c r="G93" s="300"/>
      <c r="H93" s="300"/>
      <c r="I93" s="300"/>
      <c r="J93" s="300"/>
      <c r="K93" s="300"/>
      <c r="L93" s="300"/>
      <c r="M93" s="300"/>
      <c r="N93" s="300"/>
      <c r="O93" s="300"/>
      <c r="P93" s="301">
        <f t="shared" si="22"/>
        <v>0</v>
      </c>
      <c r="Q93" s="300"/>
      <c r="R93" s="300"/>
      <c r="S93" s="300"/>
      <c r="T93" s="300"/>
      <c r="U93" s="300"/>
      <c r="V93" s="300"/>
      <c r="W93" s="300"/>
      <c r="X93" s="300"/>
      <c r="Y93" s="300"/>
      <c r="Z93" s="300"/>
      <c r="AA93" s="300"/>
      <c r="AB93" s="302"/>
      <c r="AC93" s="302"/>
      <c r="AD93" s="302" t="e">
        <f t="shared" si="17"/>
        <v>#DIV/0!</v>
      </c>
      <c r="AE93" s="302"/>
      <c r="AG93" s="111">
        <f t="shared" si="23"/>
        <v>0</v>
      </c>
      <c r="AH93" s="126">
        <f t="shared" si="18"/>
        <v>0</v>
      </c>
    </row>
    <row r="94" spans="1:34" s="127" customFormat="1" ht="24.75" customHeight="1">
      <c r="A94" s="303" t="s">
        <v>705</v>
      </c>
      <c r="B94" s="307"/>
      <c r="C94" s="300">
        <f t="shared" si="20"/>
        <v>0</v>
      </c>
      <c r="D94" s="300"/>
      <c r="E94" s="300">
        <f t="shared" si="21"/>
        <v>0</v>
      </c>
      <c r="F94" s="300"/>
      <c r="G94" s="300"/>
      <c r="H94" s="300"/>
      <c r="I94" s="300"/>
      <c r="J94" s="300"/>
      <c r="K94" s="300"/>
      <c r="L94" s="300"/>
      <c r="M94" s="300"/>
      <c r="N94" s="300"/>
      <c r="O94" s="300"/>
      <c r="P94" s="301">
        <f t="shared" si="22"/>
        <v>0</v>
      </c>
      <c r="Q94" s="300"/>
      <c r="R94" s="300"/>
      <c r="S94" s="300"/>
      <c r="T94" s="300"/>
      <c r="U94" s="300"/>
      <c r="V94" s="300"/>
      <c r="W94" s="300"/>
      <c r="X94" s="300"/>
      <c r="Y94" s="300"/>
      <c r="Z94" s="300"/>
      <c r="AA94" s="300"/>
      <c r="AB94" s="302"/>
      <c r="AC94" s="302"/>
      <c r="AD94" s="302" t="e">
        <f t="shared" si="17"/>
        <v>#DIV/0!</v>
      </c>
      <c r="AE94" s="302"/>
      <c r="AG94" s="111">
        <f t="shared" si="23"/>
        <v>0</v>
      </c>
      <c r="AH94" s="126">
        <f t="shared" si="18"/>
        <v>0</v>
      </c>
    </row>
    <row r="95" spans="1:34" s="127" customFormat="1" ht="24.75" customHeight="1">
      <c r="A95" s="303" t="s">
        <v>706</v>
      </c>
      <c r="B95" s="307"/>
      <c r="C95" s="300">
        <f t="shared" si="20"/>
        <v>0</v>
      </c>
      <c r="D95" s="300"/>
      <c r="E95" s="300">
        <f t="shared" si="21"/>
        <v>0</v>
      </c>
      <c r="F95" s="300"/>
      <c r="G95" s="300"/>
      <c r="H95" s="300"/>
      <c r="I95" s="300"/>
      <c r="J95" s="300"/>
      <c r="K95" s="300"/>
      <c r="L95" s="300"/>
      <c r="M95" s="300"/>
      <c r="N95" s="300"/>
      <c r="O95" s="300"/>
      <c r="P95" s="301">
        <f t="shared" si="22"/>
        <v>0</v>
      </c>
      <c r="Q95" s="300"/>
      <c r="R95" s="300"/>
      <c r="S95" s="300"/>
      <c r="T95" s="300"/>
      <c r="U95" s="300"/>
      <c r="V95" s="300"/>
      <c r="W95" s="300"/>
      <c r="X95" s="300"/>
      <c r="Y95" s="300"/>
      <c r="Z95" s="300"/>
      <c r="AA95" s="300"/>
      <c r="AB95" s="302"/>
      <c r="AC95" s="302"/>
      <c r="AD95" s="302" t="e">
        <f t="shared" si="17"/>
        <v>#DIV/0!</v>
      </c>
      <c r="AE95" s="302"/>
      <c r="AG95" s="111">
        <f t="shared" si="23"/>
        <v>0</v>
      </c>
      <c r="AH95" s="126">
        <f t="shared" si="18"/>
        <v>0</v>
      </c>
    </row>
    <row r="96" spans="1:34" s="127" customFormat="1" ht="24.75" customHeight="1">
      <c r="A96" s="303" t="s">
        <v>707</v>
      </c>
      <c r="B96" s="307"/>
      <c r="C96" s="300">
        <f t="shared" si="20"/>
        <v>0</v>
      </c>
      <c r="D96" s="300"/>
      <c r="E96" s="300">
        <f t="shared" si="21"/>
        <v>0</v>
      </c>
      <c r="F96" s="300"/>
      <c r="G96" s="300"/>
      <c r="H96" s="300"/>
      <c r="I96" s="300"/>
      <c r="J96" s="300"/>
      <c r="K96" s="300"/>
      <c r="L96" s="300"/>
      <c r="M96" s="300"/>
      <c r="N96" s="300"/>
      <c r="O96" s="300"/>
      <c r="P96" s="301">
        <f t="shared" si="22"/>
        <v>0</v>
      </c>
      <c r="Q96" s="300"/>
      <c r="R96" s="300"/>
      <c r="S96" s="300"/>
      <c r="T96" s="300"/>
      <c r="U96" s="300"/>
      <c r="V96" s="300"/>
      <c r="W96" s="300"/>
      <c r="X96" s="300"/>
      <c r="Y96" s="300"/>
      <c r="Z96" s="300"/>
      <c r="AA96" s="300"/>
      <c r="AB96" s="302"/>
      <c r="AC96" s="302"/>
      <c r="AD96" s="302" t="e">
        <f t="shared" si="17"/>
        <v>#DIV/0!</v>
      </c>
      <c r="AE96" s="302"/>
      <c r="AG96" s="111">
        <f t="shared" si="23"/>
        <v>0</v>
      </c>
      <c r="AH96" s="126">
        <f t="shared" si="18"/>
        <v>0</v>
      </c>
    </row>
    <row r="97" spans="1:38" s="127" customFormat="1" ht="24.75" customHeight="1">
      <c r="A97" s="303" t="s">
        <v>708</v>
      </c>
      <c r="B97" s="307"/>
      <c r="C97" s="300">
        <f t="shared" si="20"/>
        <v>0</v>
      </c>
      <c r="D97" s="300"/>
      <c r="E97" s="300">
        <f t="shared" si="21"/>
        <v>0</v>
      </c>
      <c r="F97" s="300"/>
      <c r="G97" s="300"/>
      <c r="H97" s="300"/>
      <c r="I97" s="300"/>
      <c r="J97" s="300"/>
      <c r="K97" s="300"/>
      <c r="L97" s="300"/>
      <c r="M97" s="300"/>
      <c r="N97" s="300"/>
      <c r="O97" s="300"/>
      <c r="P97" s="301">
        <f t="shared" si="22"/>
        <v>0</v>
      </c>
      <c r="Q97" s="300"/>
      <c r="R97" s="300"/>
      <c r="S97" s="300"/>
      <c r="T97" s="300"/>
      <c r="U97" s="300"/>
      <c r="V97" s="300"/>
      <c r="W97" s="300"/>
      <c r="X97" s="300"/>
      <c r="Y97" s="300"/>
      <c r="Z97" s="300"/>
      <c r="AA97" s="300"/>
      <c r="AB97" s="302"/>
      <c r="AC97" s="302"/>
      <c r="AD97" s="302" t="e">
        <f t="shared" si="17"/>
        <v>#DIV/0!</v>
      </c>
      <c r="AE97" s="302"/>
      <c r="AG97" s="111">
        <f t="shared" si="23"/>
        <v>0</v>
      </c>
      <c r="AH97" s="126">
        <f t="shared" si="18"/>
        <v>0</v>
      </c>
    </row>
    <row r="98" spans="1:38" s="125" customFormat="1" ht="58.5" customHeight="1">
      <c r="A98" s="311" t="s">
        <v>457</v>
      </c>
      <c r="B98" s="312" t="s">
        <v>458</v>
      </c>
      <c r="C98" s="295">
        <f t="shared" si="20"/>
        <v>0</v>
      </c>
      <c r="D98" s="295">
        <f>SUM(D99:D109)</f>
        <v>0</v>
      </c>
      <c r="E98" s="295">
        <f t="shared" ref="E98" si="25">SUM(E99:E108)</f>
        <v>0</v>
      </c>
      <c r="F98" s="295"/>
      <c r="G98" s="295"/>
      <c r="H98" s="295"/>
      <c r="I98" s="295">
        <f>SUM(I99:I108)</f>
        <v>0</v>
      </c>
      <c r="J98" s="295">
        <f>SUM(J99:J108)</f>
        <v>0</v>
      </c>
      <c r="K98" s="295">
        <f t="shared" si="19"/>
        <v>0</v>
      </c>
      <c r="L98" s="295">
        <f>SUM(L99:L109)</f>
        <v>0</v>
      </c>
      <c r="M98" s="295">
        <f>SUM(M99:M108)</f>
        <v>0</v>
      </c>
      <c r="N98" s="295">
        <f>O98+P98+S98+T98+U98</f>
        <v>0</v>
      </c>
      <c r="O98" s="295">
        <f>SUM(O99:O109)</f>
        <v>0</v>
      </c>
      <c r="P98" s="295">
        <f t="shared" ref="P98:T98" si="26">SUM(P99:P109)</f>
        <v>0</v>
      </c>
      <c r="Q98" s="295">
        <f t="shared" si="26"/>
        <v>0</v>
      </c>
      <c r="R98" s="295">
        <f t="shared" si="26"/>
        <v>0</v>
      </c>
      <c r="S98" s="295">
        <f t="shared" si="26"/>
        <v>0</v>
      </c>
      <c r="T98" s="295">
        <f t="shared" si="26"/>
        <v>0</v>
      </c>
      <c r="U98" s="295">
        <f t="shared" ref="U98" si="27">SUM(U99:U108)</f>
        <v>0</v>
      </c>
      <c r="V98" s="295">
        <f>SUM(V99:V109)</f>
        <v>0</v>
      </c>
      <c r="W98" s="295"/>
      <c r="X98" s="295">
        <f t="shared" ref="X98:Z98" si="28">SUM(X99:X109)</f>
        <v>0</v>
      </c>
      <c r="Y98" s="295">
        <f t="shared" si="28"/>
        <v>0</v>
      </c>
      <c r="Z98" s="295">
        <f t="shared" si="28"/>
        <v>0</v>
      </c>
      <c r="AA98" s="295"/>
      <c r="AB98" s="302" t="e">
        <f t="shared" ref="AB98:AC120" si="29">N98/C98%</f>
        <v>#DIV/0!</v>
      </c>
      <c r="AC98" s="302" t="e">
        <f t="shared" si="29"/>
        <v>#DIV/0!</v>
      </c>
      <c r="AD98" s="302"/>
      <c r="AE98" s="302"/>
      <c r="AG98" s="111">
        <f t="shared" si="23"/>
        <v>0</v>
      </c>
      <c r="AH98" s="126">
        <f t="shared" si="18"/>
        <v>0</v>
      </c>
    </row>
    <row r="99" spans="1:38" s="127" customFormat="1">
      <c r="A99" s="313" t="s">
        <v>244</v>
      </c>
      <c r="B99" s="314" t="s">
        <v>459</v>
      </c>
      <c r="C99" s="300">
        <f t="shared" si="20"/>
        <v>0</v>
      </c>
      <c r="D99" s="301"/>
      <c r="E99" s="301"/>
      <c r="F99" s="301"/>
      <c r="G99" s="301"/>
      <c r="H99" s="301"/>
      <c r="I99" s="301"/>
      <c r="J99" s="301"/>
      <c r="K99" s="300">
        <f t="shared" si="19"/>
        <v>0</v>
      </c>
      <c r="L99" s="301"/>
      <c r="M99" s="301"/>
      <c r="N99" s="300">
        <f t="shared" ref="N99:N106" si="30">O99+P99+S99+T99+U99</f>
        <v>0</v>
      </c>
      <c r="O99" s="301"/>
      <c r="P99" s="301">
        <f t="shared" ref="P99:P108" si="31">Q99+R99</f>
        <v>0</v>
      </c>
      <c r="Q99" s="301"/>
      <c r="R99" s="301"/>
      <c r="S99" s="301"/>
      <c r="T99" s="301"/>
      <c r="U99" s="300">
        <f t="shared" ref="U99:U108" si="32">V99+W99</f>
        <v>0</v>
      </c>
      <c r="V99" s="301"/>
      <c r="W99" s="301"/>
      <c r="X99" s="300">
        <f t="shared" ref="X99:X108" si="33">Y99+Z99</f>
        <v>0</v>
      </c>
      <c r="Y99" s="300"/>
      <c r="Z99" s="300"/>
      <c r="AA99" s="300"/>
      <c r="AB99" s="302" t="e">
        <f t="shared" si="29"/>
        <v>#DIV/0!</v>
      </c>
      <c r="AC99" s="302" t="e">
        <f t="shared" si="29"/>
        <v>#DIV/0!</v>
      </c>
      <c r="AD99" s="302"/>
      <c r="AE99" s="302"/>
      <c r="AG99" s="111">
        <f t="shared" si="23"/>
        <v>0</v>
      </c>
      <c r="AH99" s="126">
        <f t="shared" si="18"/>
        <v>0</v>
      </c>
    </row>
    <row r="100" spans="1:38" s="127" customFormat="1">
      <c r="A100" s="313" t="s">
        <v>245</v>
      </c>
      <c r="B100" s="314" t="s">
        <v>460</v>
      </c>
      <c r="C100" s="300">
        <f t="shared" si="20"/>
        <v>0</v>
      </c>
      <c r="D100" s="301"/>
      <c r="E100" s="301"/>
      <c r="F100" s="301"/>
      <c r="G100" s="301"/>
      <c r="H100" s="301"/>
      <c r="I100" s="301"/>
      <c r="J100" s="301"/>
      <c r="K100" s="300">
        <f t="shared" si="19"/>
        <v>0</v>
      </c>
      <c r="L100" s="301"/>
      <c r="M100" s="301"/>
      <c r="N100" s="300">
        <f t="shared" si="30"/>
        <v>0</v>
      </c>
      <c r="O100" s="301"/>
      <c r="P100" s="301">
        <f t="shared" si="31"/>
        <v>0</v>
      </c>
      <c r="Q100" s="301"/>
      <c r="R100" s="301"/>
      <c r="S100" s="301"/>
      <c r="T100" s="301"/>
      <c r="U100" s="300">
        <f t="shared" si="32"/>
        <v>0</v>
      </c>
      <c r="V100" s="301"/>
      <c r="W100" s="301"/>
      <c r="X100" s="300">
        <f t="shared" si="33"/>
        <v>0</v>
      </c>
      <c r="Y100" s="300"/>
      <c r="Z100" s="300"/>
      <c r="AA100" s="300"/>
      <c r="AB100" s="302" t="e">
        <f t="shared" si="29"/>
        <v>#DIV/0!</v>
      </c>
      <c r="AC100" s="302" t="e">
        <f t="shared" si="29"/>
        <v>#DIV/0!</v>
      </c>
      <c r="AD100" s="302"/>
      <c r="AE100" s="302"/>
      <c r="AG100" s="111">
        <f t="shared" si="23"/>
        <v>0</v>
      </c>
      <c r="AH100" s="126">
        <f t="shared" si="18"/>
        <v>0</v>
      </c>
    </row>
    <row r="101" spans="1:38" s="127" customFormat="1">
      <c r="A101" s="313" t="s">
        <v>246</v>
      </c>
      <c r="B101" s="314" t="s">
        <v>273</v>
      </c>
      <c r="C101" s="300">
        <f t="shared" si="20"/>
        <v>0</v>
      </c>
      <c r="D101" s="301"/>
      <c r="E101" s="301"/>
      <c r="F101" s="301"/>
      <c r="G101" s="301"/>
      <c r="H101" s="301"/>
      <c r="I101" s="301"/>
      <c r="J101" s="301"/>
      <c r="K101" s="300">
        <f t="shared" si="19"/>
        <v>0</v>
      </c>
      <c r="L101" s="301"/>
      <c r="M101" s="301"/>
      <c r="N101" s="300">
        <f t="shared" si="30"/>
        <v>0</v>
      </c>
      <c r="O101" s="301"/>
      <c r="P101" s="301">
        <f t="shared" si="31"/>
        <v>0</v>
      </c>
      <c r="Q101" s="301"/>
      <c r="R101" s="301"/>
      <c r="S101" s="301"/>
      <c r="T101" s="301"/>
      <c r="U101" s="300">
        <f t="shared" si="32"/>
        <v>0</v>
      </c>
      <c r="V101" s="301"/>
      <c r="W101" s="301"/>
      <c r="X101" s="300">
        <f t="shared" si="33"/>
        <v>0</v>
      </c>
      <c r="Y101" s="300"/>
      <c r="Z101" s="300"/>
      <c r="AA101" s="300"/>
      <c r="AB101" s="302" t="e">
        <f t="shared" si="29"/>
        <v>#DIV/0!</v>
      </c>
      <c r="AC101" s="302" t="e">
        <f t="shared" si="29"/>
        <v>#DIV/0!</v>
      </c>
      <c r="AD101" s="302"/>
      <c r="AE101" s="302"/>
      <c r="AG101" s="111">
        <f t="shared" si="23"/>
        <v>0</v>
      </c>
      <c r="AH101" s="126">
        <f t="shared" si="18"/>
        <v>0</v>
      </c>
    </row>
    <row r="102" spans="1:38" s="127" customFormat="1">
      <c r="A102" s="313" t="s">
        <v>247</v>
      </c>
      <c r="B102" s="314" t="s">
        <v>275</v>
      </c>
      <c r="C102" s="300">
        <f t="shared" si="20"/>
        <v>0</v>
      </c>
      <c r="D102" s="301"/>
      <c r="E102" s="301"/>
      <c r="F102" s="301"/>
      <c r="G102" s="301"/>
      <c r="H102" s="301"/>
      <c r="I102" s="301"/>
      <c r="J102" s="301"/>
      <c r="K102" s="300">
        <f t="shared" si="19"/>
        <v>0</v>
      </c>
      <c r="L102" s="301"/>
      <c r="M102" s="301"/>
      <c r="N102" s="300">
        <f t="shared" si="30"/>
        <v>0</v>
      </c>
      <c r="O102" s="301"/>
      <c r="P102" s="301">
        <f t="shared" si="31"/>
        <v>0</v>
      </c>
      <c r="Q102" s="301"/>
      <c r="R102" s="301"/>
      <c r="S102" s="301"/>
      <c r="T102" s="301"/>
      <c r="U102" s="300">
        <f t="shared" si="32"/>
        <v>0</v>
      </c>
      <c r="V102" s="301"/>
      <c r="W102" s="301"/>
      <c r="X102" s="300">
        <f t="shared" si="33"/>
        <v>0</v>
      </c>
      <c r="Y102" s="300"/>
      <c r="Z102" s="300"/>
      <c r="AA102" s="300"/>
      <c r="AB102" s="302" t="e">
        <f t="shared" si="29"/>
        <v>#DIV/0!</v>
      </c>
      <c r="AC102" s="302" t="e">
        <f t="shared" si="29"/>
        <v>#DIV/0!</v>
      </c>
      <c r="AD102" s="302"/>
      <c r="AE102" s="302"/>
      <c r="AG102" s="111">
        <f t="shared" si="23"/>
        <v>0</v>
      </c>
      <c r="AH102" s="126">
        <f t="shared" si="18"/>
        <v>0</v>
      </c>
    </row>
    <row r="103" spans="1:38" s="127" customFormat="1">
      <c r="A103" s="313" t="s">
        <v>248</v>
      </c>
      <c r="B103" s="314" t="s">
        <v>461</v>
      </c>
      <c r="C103" s="300">
        <f t="shared" si="20"/>
        <v>0</v>
      </c>
      <c r="D103" s="301"/>
      <c r="E103" s="301"/>
      <c r="F103" s="301"/>
      <c r="G103" s="301"/>
      <c r="H103" s="301"/>
      <c r="I103" s="301"/>
      <c r="J103" s="301"/>
      <c r="K103" s="300">
        <f t="shared" si="19"/>
        <v>0</v>
      </c>
      <c r="L103" s="301"/>
      <c r="M103" s="301"/>
      <c r="N103" s="300">
        <f t="shared" si="30"/>
        <v>0</v>
      </c>
      <c r="O103" s="301"/>
      <c r="P103" s="301">
        <f t="shared" si="31"/>
        <v>0</v>
      </c>
      <c r="Q103" s="301"/>
      <c r="R103" s="301"/>
      <c r="S103" s="301"/>
      <c r="T103" s="301"/>
      <c r="U103" s="300">
        <f t="shared" si="32"/>
        <v>0</v>
      </c>
      <c r="V103" s="301"/>
      <c r="W103" s="301"/>
      <c r="X103" s="300">
        <f t="shared" si="33"/>
        <v>0</v>
      </c>
      <c r="Y103" s="300"/>
      <c r="Z103" s="300"/>
      <c r="AA103" s="300"/>
      <c r="AB103" s="302" t="e">
        <f t="shared" si="29"/>
        <v>#DIV/0!</v>
      </c>
      <c r="AC103" s="302" t="e">
        <f t="shared" si="29"/>
        <v>#DIV/0!</v>
      </c>
      <c r="AD103" s="302"/>
      <c r="AE103" s="302"/>
      <c r="AG103" s="111">
        <f t="shared" si="23"/>
        <v>0</v>
      </c>
      <c r="AH103" s="126">
        <f t="shared" si="18"/>
        <v>0</v>
      </c>
    </row>
    <row r="104" spans="1:38" s="127" customFormat="1">
      <c r="A104" s="313" t="s">
        <v>249</v>
      </c>
      <c r="B104" s="314" t="s">
        <v>274</v>
      </c>
      <c r="C104" s="300">
        <f t="shared" si="20"/>
        <v>0</v>
      </c>
      <c r="D104" s="301"/>
      <c r="E104" s="301"/>
      <c r="F104" s="301"/>
      <c r="G104" s="301"/>
      <c r="H104" s="301"/>
      <c r="I104" s="301"/>
      <c r="J104" s="301"/>
      <c r="K104" s="300">
        <f t="shared" si="19"/>
        <v>0</v>
      </c>
      <c r="L104" s="301"/>
      <c r="M104" s="301"/>
      <c r="N104" s="300">
        <f t="shared" si="30"/>
        <v>0</v>
      </c>
      <c r="O104" s="301"/>
      <c r="P104" s="301">
        <f t="shared" si="31"/>
        <v>0</v>
      </c>
      <c r="Q104" s="301"/>
      <c r="R104" s="301"/>
      <c r="S104" s="301"/>
      <c r="T104" s="301"/>
      <c r="U104" s="300">
        <f t="shared" si="32"/>
        <v>0</v>
      </c>
      <c r="V104" s="301"/>
      <c r="W104" s="301"/>
      <c r="X104" s="300">
        <f t="shared" si="33"/>
        <v>0</v>
      </c>
      <c r="Y104" s="300"/>
      <c r="Z104" s="300"/>
      <c r="AA104" s="300"/>
      <c r="AB104" s="302" t="e">
        <f t="shared" si="29"/>
        <v>#DIV/0!</v>
      </c>
      <c r="AC104" s="302" t="e">
        <f t="shared" si="29"/>
        <v>#DIV/0!</v>
      </c>
      <c r="AD104" s="302"/>
      <c r="AE104" s="302"/>
      <c r="AG104" s="111">
        <f t="shared" si="23"/>
        <v>0</v>
      </c>
      <c r="AH104" s="126">
        <f t="shared" si="18"/>
        <v>0</v>
      </c>
    </row>
    <row r="105" spans="1:38" s="127" customFormat="1">
      <c r="A105" s="313" t="s">
        <v>250</v>
      </c>
      <c r="B105" s="314" t="s">
        <v>223</v>
      </c>
      <c r="C105" s="300">
        <f t="shared" si="20"/>
        <v>0</v>
      </c>
      <c r="D105" s="301"/>
      <c r="E105" s="301"/>
      <c r="F105" s="301"/>
      <c r="G105" s="301"/>
      <c r="H105" s="301"/>
      <c r="I105" s="301"/>
      <c r="J105" s="301"/>
      <c r="K105" s="300">
        <f t="shared" si="19"/>
        <v>0</v>
      </c>
      <c r="L105" s="301"/>
      <c r="M105" s="301"/>
      <c r="N105" s="300">
        <f t="shared" si="30"/>
        <v>0</v>
      </c>
      <c r="O105" s="301"/>
      <c r="P105" s="301">
        <f t="shared" si="31"/>
        <v>0</v>
      </c>
      <c r="Q105" s="301"/>
      <c r="R105" s="301"/>
      <c r="S105" s="301"/>
      <c r="T105" s="301"/>
      <c r="U105" s="300">
        <f t="shared" si="32"/>
        <v>0</v>
      </c>
      <c r="V105" s="301"/>
      <c r="W105" s="301"/>
      <c r="X105" s="300">
        <f t="shared" si="33"/>
        <v>0</v>
      </c>
      <c r="Y105" s="300"/>
      <c r="Z105" s="300"/>
      <c r="AA105" s="300"/>
      <c r="AB105" s="302" t="e">
        <f t="shared" si="29"/>
        <v>#DIV/0!</v>
      </c>
      <c r="AC105" s="302" t="e">
        <f t="shared" si="29"/>
        <v>#DIV/0!</v>
      </c>
      <c r="AD105" s="302"/>
      <c r="AE105" s="302"/>
      <c r="AG105" s="111">
        <f t="shared" si="23"/>
        <v>0</v>
      </c>
      <c r="AH105" s="126">
        <f t="shared" si="18"/>
        <v>0</v>
      </c>
      <c r="AI105" s="125"/>
      <c r="AJ105" s="125"/>
      <c r="AK105" s="125"/>
      <c r="AL105" s="125"/>
    </row>
    <row r="106" spans="1:38" s="127" customFormat="1">
      <c r="A106" s="313" t="s">
        <v>251</v>
      </c>
      <c r="B106" s="314" t="s">
        <v>462</v>
      </c>
      <c r="C106" s="300">
        <f t="shared" si="20"/>
        <v>0</v>
      </c>
      <c r="D106" s="301"/>
      <c r="E106" s="301"/>
      <c r="F106" s="301"/>
      <c r="G106" s="301"/>
      <c r="H106" s="301"/>
      <c r="I106" s="301"/>
      <c r="J106" s="301"/>
      <c r="K106" s="300">
        <f t="shared" si="19"/>
        <v>0</v>
      </c>
      <c r="L106" s="301"/>
      <c r="M106" s="301"/>
      <c r="N106" s="300">
        <f t="shared" si="30"/>
        <v>0</v>
      </c>
      <c r="O106" s="301"/>
      <c r="P106" s="301">
        <f t="shared" si="31"/>
        <v>0</v>
      </c>
      <c r="Q106" s="301"/>
      <c r="R106" s="301"/>
      <c r="S106" s="301"/>
      <c r="T106" s="301"/>
      <c r="U106" s="300">
        <f t="shared" si="32"/>
        <v>0</v>
      </c>
      <c r="V106" s="301"/>
      <c r="W106" s="301"/>
      <c r="X106" s="300">
        <f t="shared" si="33"/>
        <v>0</v>
      </c>
      <c r="Y106" s="300"/>
      <c r="Z106" s="300"/>
      <c r="AA106" s="300"/>
      <c r="AB106" s="302" t="e">
        <f t="shared" si="29"/>
        <v>#DIV/0!</v>
      </c>
      <c r="AC106" s="302" t="e">
        <f t="shared" si="29"/>
        <v>#DIV/0!</v>
      </c>
      <c r="AD106" s="302"/>
      <c r="AE106" s="302"/>
      <c r="AG106" s="111">
        <f t="shared" si="23"/>
        <v>0</v>
      </c>
      <c r="AH106" s="126">
        <f t="shared" si="18"/>
        <v>0</v>
      </c>
      <c r="AI106" s="125"/>
      <c r="AJ106" s="125"/>
      <c r="AK106" s="125"/>
      <c r="AL106" s="125"/>
    </row>
    <row r="107" spans="1:38" s="127" customFormat="1">
      <c r="A107" s="313" t="s">
        <v>255</v>
      </c>
      <c r="B107" s="314" t="s">
        <v>463</v>
      </c>
      <c r="C107" s="300">
        <f>D107+E107+I107+J107+K107</f>
        <v>0</v>
      </c>
      <c r="D107" s="301"/>
      <c r="E107" s="301"/>
      <c r="F107" s="301"/>
      <c r="G107" s="301"/>
      <c r="H107" s="301"/>
      <c r="I107" s="301"/>
      <c r="J107" s="301"/>
      <c r="K107" s="300">
        <f t="shared" si="19"/>
        <v>0</v>
      </c>
      <c r="L107" s="301"/>
      <c r="M107" s="301"/>
      <c r="N107" s="300">
        <f t="shared" ref="N107:N108" si="34">O107+P107+S107+T107+U107+X107</f>
        <v>0</v>
      </c>
      <c r="O107" s="301"/>
      <c r="P107" s="301">
        <f t="shared" si="31"/>
        <v>0</v>
      </c>
      <c r="Q107" s="301"/>
      <c r="R107" s="301"/>
      <c r="S107" s="301"/>
      <c r="T107" s="301"/>
      <c r="U107" s="300">
        <f t="shared" si="32"/>
        <v>0</v>
      </c>
      <c r="V107" s="301"/>
      <c r="W107" s="301"/>
      <c r="X107" s="300">
        <f t="shared" si="33"/>
        <v>0</v>
      </c>
      <c r="Y107" s="300"/>
      <c r="Z107" s="300"/>
      <c r="AA107" s="300"/>
      <c r="AB107" s="302" t="e">
        <f t="shared" si="29"/>
        <v>#DIV/0!</v>
      </c>
      <c r="AC107" s="302" t="e">
        <f t="shared" si="29"/>
        <v>#DIV/0!</v>
      </c>
      <c r="AD107" s="302"/>
      <c r="AE107" s="302"/>
      <c r="AG107" s="111">
        <f t="shared" si="23"/>
        <v>0</v>
      </c>
      <c r="AH107" s="126">
        <f t="shared" si="18"/>
        <v>0</v>
      </c>
      <c r="AI107" s="125"/>
      <c r="AJ107" s="125"/>
      <c r="AK107" s="125"/>
      <c r="AL107" s="125"/>
    </row>
    <row r="108" spans="1:38" s="127" customFormat="1">
      <c r="A108" s="313" t="s">
        <v>256</v>
      </c>
      <c r="B108" s="314" t="s">
        <v>265</v>
      </c>
      <c r="C108" s="300">
        <f t="shared" si="20"/>
        <v>0</v>
      </c>
      <c r="D108" s="301"/>
      <c r="E108" s="301"/>
      <c r="F108" s="301"/>
      <c r="G108" s="301"/>
      <c r="H108" s="301"/>
      <c r="I108" s="301"/>
      <c r="J108" s="301"/>
      <c r="K108" s="300">
        <f t="shared" si="19"/>
        <v>0</v>
      </c>
      <c r="L108" s="301"/>
      <c r="M108" s="301"/>
      <c r="N108" s="300">
        <f t="shared" si="34"/>
        <v>0</v>
      </c>
      <c r="O108" s="301"/>
      <c r="P108" s="301">
        <f t="shared" si="31"/>
        <v>0</v>
      </c>
      <c r="Q108" s="301"/>
      <c r="R108" s="301"/>
      <c r="S108" s="301"/>
      <c r="T108" s="301"/>
      <c r="U108" s="300">
        <f t="shared" si="32"/>
        <v>0</v>
      </c>
      <c r="V108" s="301"/>
      <c r="W108" s="301"/>
      <c r="X108" s="300">
        <f t="shared" si="33"/>
        <v>0</v>
      </c>
      <c r="Y108" s="300"/>
      <c r="Z108" s="300"/>
      <c r="AA108" s="300"/>
      <c r="AB108" s="302" t="e">
        <f t="shared" si="29"/>
        <v>#DIV/0!</v>
      </c>
      <c r="AC108" s="302" t="e">
        <f t="shared" si="29"/>
        <v>#DIV/0!</v>
      </c>
      <c r="AD108" s="302"/>
      <c r="AE108" s="302"/>
      <c r="AG108" s="111">
        <f t="shared" si="23"/>
        <v>0</v>
      </c>
      <c r="AH108" s="126">
        <f t="shared" si="18"/>
        <v>0</v>
      </c>
      <c r="AI108" s="125"/>
      <c r="AJ108" s="125"/>
      <c r="AK108" s="125"/>
      <c r="AL108" s="125"/>
    </row>
    <row r="109" spans="1:38" s="127" customFormat="1">
      <c r="A109" s="313">
        <v>11</v>
      </c>
      <c r="B109" s="314" t="s">
        <v>327</v>
      </c>
      <c r="C109" s="300">
        <f t="shared" si="20"/>
        <v>0</v>
      </c>
      <c r="D109" s="301"/>
      <c r="E109" s="301"/>
      <c r="F109" s="301"/>
      <c r="G109" s="301"/>
      <c r="H109" s="301"/>
      <c r="I109" s="301"/>
      <c r="J109" s="301"/>
      <c r="K109" s="300">
        <f t="shared" si="19"/>
        <v>0</v>
      </c>
      <c r="L109" s="301"/>
      <c r="M109" s="301"/>
      <c r="N109" s="300"/>
      <c r="O109" s="301"/>
      <c r="P109" s="301">
        <f>Q109+R109</f>
        <v>0</v>
      </c>
      <c r="Q109" s="301"/>
      <c r="R109" s="301"/>
      <c r="S109" s="301"/>
      <c r="T109" s="301"/>
      <c r="U109" s="300"/>
      <c r="V109" s="301"/>
      <c r="W109" s="301"/>
      <c r="X109" s="300"/>
      <c r="Y109" s="300"/>
      <c r="Z109" s="300"/>
      <c r="AA109" s="300"/>
      <c r="AB109" s="302"/>
      <c r="AC109" s="302"/>
      <c r="AD109" s="302"/>
      <c r="AE109" s="302"/>
      <c r="AG109" s="111">
        <f t="shared" si="23"/>
        <v>0</v>
      </c>
      <c r="AH109" s="126">
        <f t="shared" si="18"/>
        <v>0</v>
      </c>
      <c r="AI109" s="125"/>
      <c r="AJ109" s="125"/>
      <c r="AK109" s="125"/>
      <c r="AL109" s="125"/>
    </row>
    <row r="110" spans="1:38" s="125" customFormat="1">
      <c r="A110" s="311" t="s">
        <v>33</v>
      </c>
      <c r="B110" s="315" t="s">
        <v>464</v>
      </c>
      <c r="C110" s="295">
        <f>D110+E110+I110+J110+K110</f>
        <v>61001</v>
      </c>
      <c r="D110" s="316"/>
      <c r="E110" s="316">
        <f>E111+E112+E113</f>
        <v>61001</v>
      </c>
      <c r="F110" s="316">
        <f>F111+F112+F113</f>
        <v>0</v>
      </c>
      <c r="G110" s="316"/>
      <c r="H110" s="316"/>
      <c r="I110" s="316"/>
      <c r="J110" s="316"/>
      <c r="K110" s="295"/>
      <c r="L110" s="316"/>
      <c r="M110" s="316"/>
      <c r="N110" s="295"/>
      <c r="O110" s="316"/>
      <c r="P110" s="316">
        <f>Q110+R110</f>
        <v>0</v>
      </c>
      <c r="Q110" s="316"/>
      <c r="R110" s="316"/>
      <c r="S110" s="316"/>
      <c r="T110" s="316"/>
      <c r="U110" s="295"/>
      <c r="V110" s="316"/>
      <c r="W110" s="316"/>
      <c r="X110" s="295"/>
      <c r="Y110" s="295"/>
      <c r="Z110" s="295"/>
      <c r="AA110" s="295"/>
      <c r="AB110" s="302"/>
      <c r="AC110" s="302"/>
      <c r="AD110" s="302">
        <f t="shared" si="17"/>
        <v>0</v>
      </c>
      <c r="AE110" s="302"/>
      <c r="AG110" s="111">
        <f t="shared" si="23"/>
        <v>61001</v>
      </c>
      <c r="AH110" s="126">
        <f t="shared" si="18"/>
        <v>0</v>
      </c>
    </row>
    <row r="111" spans="1:38" s="125" customFormat="1">
      <c r="A111" s="311"/>
      <c r="B111" s="314" t="s">
        <v>465</v>
      </c>
      <c r="C111" s="300">
        <f>D111+E111+I111+J111+K111</f>
        <v>6000</v>
      </c>
      <c r="D111" s="301"/>
      <c r="E111" s="301">
        <v>6000</v>
      </c>
      <c r="F111" s="301"/>
      <c r="G111" s="316"/>
      <c r="H111" s="316"/>
      <c r="I111" s="316"/>
      <c r="J111" s="316"/>
      <c r="K111" s="295"/>
      <c r="L111" s="316"/>
      <c r="M111" s="316"/>
      <c r="N111" s="295"/>
      <c r="O111" s="316"/>
      <c r="P111" s="316">
        <f t="shared" ref="P111:P112" si="35">Q111+R111</f>
        <v>0</v>
      </c>
      <c r="Q111" s="316"/>
      <c r="R111" s="316"/>
      <c r="S111" s="316"/>
      <c r="T111" s="316"/>
      <c r="U111" s="295"/>
      <c r="V111" s="316"/>
      <c r="W111" s="316"/>
      <c r="X111" s="295"/>
      <c r="Y111" s="295"/>
      <c r="Z111" s="295"/>
      <c r="AA111" s="295"/>
      <c r="AB111" s="302"/>
      <c r="AC111" s="302"/>
      <c r="AD111" s="302">
        <f t="shared" si="17"/>
        <v>0</v>
      </c>
      <c r="AE111" s="302"/>
      <c r="AG111" s="111">
        <f t="shared" si="23"/>
        <v>6000</v>
      </c>
      <c r="AH111" s="126">
        <f t="shared" si="18"/>
        <v>0</v>
      </c>
    </row>
    <row r="112" spans="1:38" s="125" customFormat="1">
      <c r="A112" s="311"/>
      <c r="B112" s="314" t="s">
        <v>466</v>
      </c>
      <c r="C112" s="300">
        <f t="shared" ref="C112:C113" si="36">D112+E112+I112+J112+K112</f>
        <v>5000</v>
      </c>
      <c r="D112" s="301"/>
      <c r="E112" s="301">
        <v>5000</v>
      </c>
      <c r="F112" s="301"/>
      <c r="G112" s="316"/>
      <c r="H112" s="316"/>
      <c r="I112" s="316"/>
      <c r="J112" s="316"/>
      <c r="K112" s="295"/>
      <c r="L112" s="316"/>
      <c r="M112" s="316"/>
      <c r="N112" s="295"/>
      <c r="O112" s="316"/>
      <c r="P112" s="316">
        <f t="shared" si="35"/>
        <v>0</v>
      </c>
      <c r="Q112" s="316"/>
      <c r="R112" s="316"/>
      <c r="S112" s="316"/>
      <c r="T112" s="316"/>
      <c r="U112" s="295"/>
      <c r="V112" s="316"/>
      <c r="W112" s="316"/>
      <c r="X112" s="295"/>
      <c r="Y112" s="295"/>
      <c r="Z112" s="295"/>
      <c r="AA112" s="295"/>
      <c r="AB112" s="302"/>
      <c r="AC112" s="302"/>
      <c r="AD112" s="302">
        <f t="shared" si="17"/>
        <v>0</v>
      </c>
      <c r="AE112" s="302"/>
      <c r="AG112" s="111">
        <f t="shared" si="23"/>
        <v>5000</v>
      </c>
      <c r="AH112" s="126">
        <f t="shared" si="18"/>
        <v>0</v>
      </c>
    </row>
    <row r="113" spans="1:38" s="125" customFormat="1">
      <c r="A113" s="311"/>
      <c r="B113" s="314" t="s">
        <v>271</v>
      </c>
      <c r="C113" s="300">
        <f t="shared" si="36"/>
        <v>50001</v>
      </c>
      <c r="D113" s="301"/>
      <c r="E113" s="301">
        <v>50001</v>
      </c>
      <c r="F113" s="301"/>
      <c r="G113" s="316"/>
      <c r="H113" s="316"/>
      <c r="I113" s="316"/>
      <c r="J113" s="316"/>
      <c r="K113" s="295"/>
      <c r="L113" s="316"/>
      <c r="M113" s="316"/>
      <c r="N113" s="295"/>
      <c r="O113" s="316"/>
      <c r="P113" s="316">
        <f>Q113+R113</f>
        <v>0</v>
      </c>
      <c r="Q113" s="316"/>
      <c r="R113" s="316"/>
      <c r="S113" s="316"/>
      <c r="T113" s="316"/>
      <c r="U113" s="295"/>
      <c r="V113" s="316"/>
      <c r="W113" s="316"/>
      <c r="X113" s="295"/>
      <c r="Y113" s="295"/>
      <c r="Z113" s="295"/>
      <c r="AA113" s="295"/>
      <c r="AB113" s="302"/>
      <c r="AC113" s="302"/>
      <c r="AD113" s="302">
        <f t="shared" si="17"/>
        <v>0</v>
      </c>
      <c r="AE113" s="302"/>
      <c r="AG113" s="111">
        <f t="shared" si="23"/>
        <v>50001</v>
      </c>
      <c r="AH113" s="126">
        <f t="shared" si="18"/>
        <v>0</v>
      </c>
    </row>
    <row r="114" spans="1:38" s="125" customFormat="1" ht="45" customHeight="1">
      <c r="A114" s="317" t="s">
        <v>37</v>
      </c>
      <c r="B114" s="318" t="s">
        <v>718</v>
      </c>
      <c r="C114" s="295">
        <f t="shared" si="20"/>
        <v>2200</v>
      </c>
      <c r="D114" s="316"/>
      <c r="E114" s="316"/>
      <c r="F114" s="316"/>
      <c r="G114" s="316"/>
      <c r="H114" s="316"/>
      <c r="I114" s="316">
        <v>2200</v>
      </c>
      <c r="J114" s="316"/>
      <c r="K114" s="295">
        <f t="shared" si="19"/>
        <v>0</v>
      </c>
      <c r="L114" s="316"/>
      <c r="M114" s="316"/>
      <c r="N114" s="295">
        <f t="shared" ref="N114:N121" si="37">O114+P114+S114+T114+U114+X114</f>
        <v>9699.7659999999996</v>
      </c>
      <c r="O114" s="316"/>
      <c r="P114" s="316">
        <f>Q114+R114</f>
        <v>0</v>
      </c>
      <c r="Q114" s="316"/>
      <c r="R114" s="316"/>
      <c r="S114" s="316">
        <f>'[4]bieu 53_Tan'!G26</f>
        <v>9699.7659999999996</v>
      </c>
      <c r="T114" s="316"/>
      <c r="U114" s="295">
        <f t="shared" ref="U114:U122" si="38">V114+W114</f>
        <v>0</v>
      </c>
      <c r="V114" s="316"/>
      <c r="W114" s="316"/>
      <c r="X114" s="295">
        <f>Y114+Z114</f>
        <v>0</v>
      </c>
      <c r="Y114" s="316"/>
      <c r="Z114" s="316"/>
      <c r="AA114" s="316"/>
      <c r="AB114" s="302">
        <f t="shared" si="29"/>
        <v>440.89845454545451</v>
      </c>
      <c r="AC114" s="302"/>
      <c r="AD114" s="302"/>
      <c r="AE114" s="302"/>
      <c r="AG114" s="111">
        <f t="shared" si="23"/>
        <v>0</v>
      </c>
      <c r="AH114" s="126">
        <f t="shared" si="18"/>
        <v>0</v>
      </c>
    </row>
    <row r="115" spans="1:38" s="125" customFormat="1" ht="23.25" customHeight="1">
      <c r="A115" s="317" t="s">
        <v>39</v>
      </c>
      <c r="B115" s="318" t="s">
        <v>467</v>
      </c>
      <c r="C115" s="295">
        <f t="shared" si="20"/>
        <v>1000</v>
      </c>
      <c r="D115" s="316"/>
      <c r="E115" s="316"/>
      <c r="F115" s="316"/>
      <c r="G115" s="316"/>
      <c r="H115" s="316"/>
      <c r="I115" s="316"/>
      <c r="J115" s="295">
        <v>1000</v>
      </c>
      <c r="K115" s="295">
        <f t="shared" si="19"/>
        <v>0</v>
      </c>
      <c r="L115" s="316"/>
      <c r="M115" s="316"/>
      <c r="N115" s="295">
        <f t="shared" si="37"/>
        <v>24154</v>
      </c>
      <c r="O115" s="316"/>
      <c r="P115" s="316">
        <f>Q115+R115</f>
        <v>0</v>
      </c>
      <c r="Q115" s="316"/>
      <c r="R115" s="316"/>
      <c r="S115" s="316"/>
      <c r="T115" s="316">
        <f>'[4]bieu 53_Tan'!G27</f>
        <v>24154</v>
      </c>
      <c r="U115" s="295">
        <f t="shared" si="38"/>
        <v>0</v>
      </c>
      <c r="V115" s="316"/>
      <c r="W115" s="316"/>
      <c r="X115" s="295">
        <f>Y115+Z115</f>
        <v>0</v>
      </c>
      <c r="Y115" s="316"/>
      <c r="Z115" s="316"/>
      <c r="AA115" s="316"/>
      <c r="AB115" s="302">
        <f t="shared" si="29"/>
        <v>2415.4</v>
      </c>
      <c r="AC115" s="302"/>
      <c r="AD115" s="302"/>
      <c r="AE115" s="302"/>
      <c r="AG115" s="111">
        <f t="shared" si="23"/>
        <v>0</v>
      </c>
      <c r="AH115" s="126">
        <f t="shared" si="18"/>
        <v>0</v>
      </c>
      <c r="AI115" s="112"/>
      <c r="AJ115" s="112"/>
      <c r="AK115" s="112"/>
      <c r="AL115" s="112"/>
    </row>
    <row r="116" spans="1:38" s="125" customFormat="1">
      <c r="A116" s="317" t="s">
        <v>40</v>
      </c>
      <c r="B116" s="318" t="s">
        <v>468</v>
      </c>
      <c r="C116" s="295">
        <f>D116+J116+I116+E116+K116</f>
        <v>67330</v>
      </c>
      <c r="D116" s="316"/>
      <c r="F116" s="316"/>
      <c r="G116" s="316"/>
      <c r="H116" s="316"/>
      <c r="I116" s="316"/>
      <c r="J116" s="316">
        <v>67330</v>
      </c>
      <c r="K116" s="295">
        <f t="shared" si="19"/>
        <v>0</v>
      </c>
      <c r="L116" s="316"/>
      <c r="M116" s="316"/>
      <c r="N116" s="295">
        <f t="shared" si="37"/>
        <v>0</v>
      </c>
      <c r="O116" s="316"/>
      <c r="P116" s="316">
        <f t="shared" ref="P116:P121" si="39">Q116+R116</f>
        <v>0</v>
      </c>
      <c r="Q116" s="316"/>
      <c r="R116" s="316"/>
      <c r="S116" s="316"/>
      <c r="T116" s="316"/>
      <c r="U116" s="295">
        <f t="shared" si="38"/>
        <v>0</v>
      </c>
      <c r="V116" s="316"/>
      <c r="W116" s="316"/>
      <c r="X116" s="295">
        <f>Y116+Z116</f>
        <v>0</v>
      </c>
      <c r="Y116" s="316"/>
      <c r="Z116" s="316"/>
      <c r="AA116" s="316"/>
      <c r="AB116" s="302">
        <f t="shared" si="29"/>
        <v>0</v>
      </c>
      <c r="AC116" s="302"/>
      <c r="AD116" s="302"/>
      <c r="AE116" s="302"/>
      <c r="AG116" s="111">
        <f t="shared" si="23"/>
        <v>0</v>
      </c>
      <c r="AH116" s="126">
        <f t="shared" si="18"/>
        <v>0</v>
      </c>
      <c r="AI116" s="112"/>
      <c r="AJ116" s="112"/>
      <c r="AK116" s="112"/>
      <c r="AL116" s="112"/>
    </row>
    <row r="117" spans="1:38" s="125" customFormat="1">
      <c r="A117" s="317" t="s">
        <v>125</v>
      </c>
      <c r="B117" s="318" t="s">
        <v>703</v>
      </c>
      <c r="C117" s="295">
        <f t="shared" ref="C117:C122" si="40">D117+J117+I117+E117+K117</f>
        <v>48400</v>
      </c>
      <c r="D117" s="316"/>
      <c r="F117" s="316"/>
      <c r="G117" s="316"/>
      <c r="H117" s="316"/>
      <c r="I117" s="316"/>
      <c r="J117" s="316">
        <v>48400</v>
      </c>
      <c r="K117" s="295">
        <f t="shared" si="19"/>
        <v>0</v>
      </c>
      <c r="L117" s="316"/>
      <c r="M117" s="316"/>
      <c r="N117" s="295">
        <f t="shared" si="37"/>
        <v>0</v>
      </c>
      <c r="O117" s="316"/>
      <c r="P117" s="316">
        <f t="shared" si="39"/>
        <v>0</v>
      </c>
      <c r="Q117" s="316"/>
      <c r="R117" s="316"/>
      <c r="S117" s="316"/>
      <c r="T117" s="316"/>
      <c r="U117" s="295">
        <f t="shared" si="38"/>
        <v>0</v>
      </c>
      <c r="V117" s="316"/>
      <c r="W117" s="316"/>
      <c r="X117" s="295">
        <f t="shared" ref="X117:X118" si="41">Y117+Z117</f>
        <v>0</v>
      </c>
      <c r="Y117" s="316"/>
      <c r="Z117" s="316"/>
      <c r="AA117" s="316"/>
      <c r="AB117" s="302">
        <f t="shared" si="29"/>
        <v>0</v>
      </c>
      <c r="AC117" s="302"/>
      <c r="AD117" s="302"/>
      <c r="AE117" s="302"/>
      <c r="AG117" s="111">
        <f t="shared" si="23"/>
        <v>0</v>
      </c>
      <c r="AH117" s="126">
        <f t="shared" si="18"/>
        <v>0</v>
      </c>
      <c r="AI117" s="112"/>
      <c r="AJ117" s="112"/>
      <c r="AK117" s="112"/>
      <c r="AL117" s="112"/>
    </row>
    <row r="118" spans="1:38" s="125" customFormat="1" ht="31.5">
      <c r="A118" s="317" t="s">
        <v>157</v>
      </c>
      <c r="B118" s="318" t="s">
        <v>709</v>
      </c>
      <c r="C118" s="295">
        <f t="shared" si="40"/>
        <v>1010785</v>
      </c>
      <c r="D118" s="316"/>
      <c r="F118" s="316"/>
      <c r="G118" s="316"/>
      <c r="H118" s="316"/>
      <c r="I118" s="316"/>
      <c r="J118" s="316">
        <v>1010785</v>
      </c>
      <c r="K118" s="295">
        <f t="shared" si="19"/>
        <v>0</v>
      </c>
      <c r="L118" s="316"/>
      <c r="M118" s="316"/>
      <c r="N118" s="295">
        <f t="shared" si="37"/>
        <v>0</v>
      </c>
      <c r="O118" s="316"/>
      <c r="P118" s="316">
        <f t="shared" si="39"/>
        <v>0</v>
      </c>
      <c r="Q118" s="316"/>
      <c r="R118" s="316"/>
      <c r="S118" s="316"/>
      <c r="T118" s="316"/>
      <c r="U118" s="295">
        <f t="shared" si="38"/>
        <v>0</v>
      </c>
      <c r="V118" s="316"/>
      <c r="W118" s="316"/>
      <c r="X118" s="295">
        <f t="shared" si="41"/>
        <v>0</v>
      </c>
      <c r="Y118" s="316"/>
      <c r="Z118" s="316"/>
      <c r="AA118" s="316"/>
      <c r="AB118" s="302">
        <f t="shared" si="29"/>
        <v>0</v>
      </c>
      <c r="AC118" s="302"/>
      <c r="AD118" s="302"/>
      <c r="AE118" s="302"/>
      <c r="AG118" s="111">
        <f t="shared" si="23"/>
        <v>0</v>
      </c>
      <c r="AH118" s="126">
        <f t="shared" si="18"/>
        <v>0</v>
      </c>
      <c r="AI118" s="112"/>
      <c r="AJ118" s="112"/>
      <c r="AK118" s="112"/>
      <c r="AL118" s="112"/>
    </row>
    <row r="119" spans="1:38" s="125" customFormat="1" ht="31.5">
      <c r="A119" s="317" t="s">
        <v>469</v>
      </c>
      <c r="B119" s="318" t="s">
        <v>620</v>
      </c>
      <c r="C119" s="295">
        <f t="shared" si="40"/>
        <v>0</v>
      </c>
      <c r="D119" s="316"/>
      <c r="F119" s="316"/>
      <c r="G119" s="316"/>
      <c r="H119" s="316"/>
      <c r="I119" s="316"/>
      <c r="J119" s="316"/>
      <c r="K119" s="295"/>
      <c r="L119" s="316"/>
      <c r="M119" s="316"/>
      <c r="N119" s="295">
        <f t="shared" si="37"/>
        <v>11000</v>
      </c>
      <c r="O119" s="316"/>
      <c r="P119" s="316">
        <f t="shared" si="39"/>
        <v>0</v>
      </c>
      <c r="Q119" s="316"/>
      <c r="R119" s="316"/>
      <c r="S119" s="316"/>
      <c r="T119" s="316">
        <v>11000</v>
      </c>
      <c r="U119" s="295"/>
      <c r="V119" s="316"/>
      <c r="W119" s="316"/>
      <c r="X119" s="295"/>
      <c r="Y119" s="316"/>
      <c r="Z119" s="316"/>
      <c r="AA119" s="316"/>
      <c r="AB119" s="302"/>
      <c r="AC119" s="302"/>
      <c r="AD119" s="302"/>
      <c r="AE119" s="302"/>
      <c r="AG119" s="111">
        <f t="shared" si="23"/>
        <v>0</v>
      </c>
      <c r="AH119" s="126">
        <f t="shared" si="18"/>
        <v>0</v>
      </c>
      <c r="AI119" s="112"/>
      <c r="AJ119" s="112"/>
      <c r="AK119" s="112"/>
      <c r="AL119" s="112"/>
    </row>
    <row r="120" spans="1:38" s="125" customFormat="1" ht="31.5">
      <c r="A120" s="319" t="s">
        <v>606</v>
      </c>
      <c r="B120" s="318" t="s">
        <v>563</v>
      </c>
      <c r="C120" s="295">
        <f t="shared" si="40"/>
        <v>222208</v>
      </c>
      <c r="D120" s="316"/>
      <c r="E120" s="316"/>
      <c r="F120" s="316"/>
      <c r="G120" s="316"/>
      <c r="H120" s="316"/>
      <c r="I120" s="316"/>
      <c r="J120" s="295">
        <v>222208</v>
      </c>
      <c r="K120" s="295">
        <f t="shared" si="19"/>
        <v>0</v>
      </c>
      <c r="L120" s="316"/>
      <c r="M120" s="316"/>
      <c r="N120" s="295">
        <f t="shared" si="37"/>
        <v>0</v>
      </c>
      <c r="O120" s="316"/>
      <c r="P120" s="316">
        <f t="shared" si="39"/>
        <v>0</v>
      </c>
      <c r="Q120" s="316"/>
      <c r="R120" s="316"/>
      <c r="S120" s="316"/>
      <c r="T120" s="316"/>
      <c r="U120" s="295">
        <f t="shared" si="38"/>
        <v>0</v>
      </c>
      <c r="V120" s="316"/>
      <c r="W120" s="316"/>
      <c r="X120" s="295"/>
      <c r="Y120" s="316"/>
      <c r="Z120" s="316"/>
      <c r="AA120" s="316"/>
      <c r="AB120" s="302">
        <f t="shared" si="29"/>
        <v>0</v>
      </c>
      <c r="AC120" s="302"/>
      <c r="AD120" s="302"/>
      <c r="AE120" s="302"/>
      <c r="AG120" s="111">
        <f t="shared" si="23"/>
        <v>0</v>
      </c>
      <c r="AH120" s="126">
        <f t="shared" si="18"/>
        <v>0</v>
      </c>
      <c r="AI120" s="112"/>
      <c r="AJ120" s="112"/>
      <c r="AK120" s="112"/>
      <c r="AL120" s="112"/>
    </row>
    <row r="121" spans="1:38" s="125" customFormat="1" ht="31.5">
      <c r="A121" s="319" t="s">
        <v>619</v>
      </c>
      <c r="B121" s="320" t="s">
        <v>381</v>
      </c>
      <c r="C121" s="295">
        <f t="shared" si="40"/>
        <v>0</v>
      </c>
      <c r="D121" s="321"/>
      <c r="E121" s="321"/>
      <c r="F121" s="321"/>
      <c r="G121" s="321"/>
      <c r="H121" s="321"/>
      <c r="I121" s="321"/>
      <c r="J121" s="321"/>
      <c r="K121" s="322">
        <f t="shared" si="19"/>
        <v>0</v>
      </c>
      <c r="L121" s="321"/>
      <c r="M121" s="321"/>
      <c r="N121" s="295">
        <f t="shared" si="37"/>
        <v>1954866.6281059999</v>
      </c>
      <c r="O121" s="321"/>
      <c r="P121" s="316">
        <f t="shared" si="39"/>
        <v>0</v>
      </c>
      <c r="Q121" s="321"/>
      <c r="R121" s="321"/>
      <c r="S121" s="321"/>
      <c r="T121" s="321"/>
      <c r="U121" s="322">
        <f t="shared" si="38"/>
        <v>0</v>
      </c>
      <c r="V121" s="321"/>
      <c r="W121" s="321"/>
      <c r="X121" s="321">
        <f>'[4]bieu 53_Tan'!G80</f>
        <v>1954866.6281059999</v>
      </c>
      <c r="Y121" s="321"/>
      <c r="Z121" s="321"/>
      <c r="AA121" s="321"/>
      <c r="AB121" s="302"/>
      <c r="AC121" s="302"/>
      <c r="AD121" s="302"/>
      <c r="AE121" s="302"/>
      <c r="AG121" s="111">
        <f t="shared" si="23"/>
        <v>0</v>
      </c>
      <c r="AH121" s="126">
        <f t="shared" si="18"/>
        <v>1954866.6281059999</v>
      </c>
      <c r="AI121" s="112"/>
      <c r="AJ121" s="112"/>
      <c r="AK121" s="112"/>
      <c r="AL121" s="112"/>
    </row>
    <row r="122" spans="1:38">
      <c r="A122" s="323" t="s">
        <v>702</v>
      </c>
      <c r="B122" s="324" t="s">
        <v>382</v>
      </c>
      <c r="C122" s="325">
        <f t="shared" si="40"/>
        <v>0</v>
      </c>
      <c r="D122" s="326"/>
      <c r="E122" s="326"/>
      <c r="F122" s="326"/>
      <c r="G122" s="326"/>
      <c r="H122" s="326"/>
      <c r="I122" s="326"/>
      <c r="J122" s="326"/>
      <c r="K122" s="325">
        <f t="shared" si="19"/>
        <v>0</v>
      </c>
      <c r="L122" s="326"/>
      <c r="M122" s="326"/>
      <c r="N122" s="325">
        <f>O122+P122+S122+T122+U122+X122+AA122</f>
        <v>318370.00949199998</v>
      </c>
      <c r="O122" s="326"/>
      <c r="P122" s="326">
        <f>Q122+R122</f>
        <v>0</v>
      </c>
      <c r="Q122" s="326"/>
      <c r="R122" s="326"/>
      <c r="S122" s="326"/>
      <c r="T122" s="326"/>
      <c r="U122" s="325">
        <f t="shared" si="38"/>
        <v>0</v>
      </c>
      <c r="V122" s="326"/>
      <c r="W122" s="326"/>
      <c r="X122" s="326"/>
      <c r="Y122" s="326"/>
      <c r="Z122" s="326"/>
      <c r="AA122" s="326">
        <f>'[4]bieu 53_Tan'!G81</f>
        <v>318370.00949199998</v>
      </c>
      <c r="AB122" s="327"/>
      <c r="AC122" s="327"/>
      <c r="AD122" s="327"/>
      <c r="AE122" s="327"/>
      <c r="AG122" s="111">
        <f t="shared" si="23"/>
        <v>0</v>
      </c>
      <c r="AH122" s="126">
        <f t="shared" si="18"/>
        <v>318370.00949199998</v>
      </c>
    </row>
    <row r="123" spans="1:38" ht="51" customHeight="1"/>
    <row r="124" spans="1:38">
      <c r="B124" s="613"/>
      <c r="C124" s="613"/>
      <c r="D124" s="613"/>
      <c r="E124" s="613"/>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row>
    <row r="127" spans="1:38">
      <c r="N127" s="111"/>
    </row>
  </sheetData>
  <mergeCells count="33">
    <mergeCell ref="A7:A9"/>
    <mergeCell ref="B7:B9"/>
    <mergeCell ref="C7:M7"/>
    <mergeCell ref="N7:X7"/>
    <mergeCell ref="AB7:AE7"/>
    <mergeCell ref="Q8:R8"/>
    <mergeCell ref="C8:C9"/>
    <mergeCell ref="D8:D9"/>
    <mergeCell ref="E8:E9"/>
    <mergeCell ref="F8:F9"/>
    <mergeCell ref="G8:H8"/>
    <mergeCell ref="I8:I9"/>
    <mergeCell ref="J8:J9"/>
    <mergeCell ref="K8:M8"/>
    <mergeCell ref="N8:N9"/>
    <mergeCell ref="O8:O9"/>
    <mergeCell ref="B1:C1"/>
    <mergeCell ref="A3:AE3"/>
    <mergeCell ref="A4:AE4"/>
    <mergeCell ref="AB6:AC6"/>
    <mergeCell ref="AD6:AE6"/>
    <mergeCell ref="B124:AE124"/>
    <mergeCell ref="P8:P9"/>
    <mergeCell ref="AB8:AB9"/>
    <mergeCell ref="AC8:AC9"/>
    <mergeCell ref="AD8:AD9"/>
    <mergeCell ref="AE8:AE9"/>
    <mergeCell ref="S8:S9"/>
    <mergeCell ref="T8:T9"/>
    <mergeCell ref="U8:W8"/>
    <mergeCell ref="X8:X9"/>
    <mergeCell ref="Y8:Z8"/>
    <mergeCell ref="AA8:AA9"/>
  </mergeCells>
  <phoneticPr fontId="235" type="noConversion"/>
  <dataValidations count="6">
    <dataValidation allowBlank="1" showInputMessage="1" showErrorMessage="1" prompt="_x000a_" sqref="O35"/>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2900 C65396 JE65396 TA65396 ACW65396 AMS65396 AWO65396 BGK65396 BQG65396 CAC65396 CJY65396 CTU65396 DDQ65396 DNM65396 DXI65396 EHE65396 ERA65396 FAW65396 FKS65396 FUO65396 GEK65396 GOG65396 GYC65396 HHY65396 HRU65396 IBQ65396 ILM65396 IVI65396 JFE65396 JPA65396 JYW65396 KIS65396 KSO65396 LCK65396 LMG65396 LWC65396 MFY65396 MPU65396 MZQ65396 NJM65396 NTI65396 ODE65396 ONA65396 OWW65396 PGS65396 PQO65396 QAK65396 QKG65396 QUC65396 RDY65396 RNU65396 RXQ65396 SHM65396 SRI65396 TBE65396 TLA65396 TUW65396 UES65396 UOO65396 UYK65396 VIG65396 VSC65396 WBY65396 WLU65396 WVQ65396 C130932 JE130932 TA130932 ACW130932 AMS130932 AWO130932 BGK130932 BQG130932 CAC130932 CJY130932 CTU130932 DDQ130932 DNM130932 DXI130932 EHE130932 ERA130932 FAW130932 FKS130932 FUO130932 GEK130932 GOG130932 GYC130932 HHY130932 HRU130932 IBQ130932 ILM130932 IVI130932 JFE130932 JPA130932 JYW130932 KIS130932 KSO130932 LCK130932 LMG130932 LWC130932 MFY130932 MPU130932 MZQ130932 NJM130932 NTI130932 ODE130932 ONA130932 OWW130932 PGS130932 PQO130932 QAK130932 QKG130932 QUC130932 RDY130932 RNU130932 RXQ130932 SHM130932 SRI130932 TBE130932 TLA130932 TUW130932 UES130932 UOO130932 UYK130932 VIG130932 VSC130932 WBY130932 WLU130932 WVQ130932 C196468 JE196468 TA196468 ACW196468 AMS196468 AWO196468 BGK196468 BQG196468 CAC196468 CJY196468 CTU196468 DDQ196468 DNM196468 DXI196468 EHE196468 ERA196468 FAW196468 FKS196468 FUO196468 GEK196468 GOG196468 GYC196468 HHY196468 HRU196468 IBQ196468 ILM196468 IVI196468 JFE196468 JPA196468 JYW196468 KIS196468 KSO196468 LCK196468 LMG196468 LWC196468 MFY196468 MPU196468 MZQ196468 NJM196468 NTI196468 ODE196468 ONA196468 OWW196468 PGS196468 PQO196468 QAK196468 QKG196468 QUC196468 RDY196468 RNU196468 RXQ196468 SHM196468 SRI196468 TBE196468 TLA196468 TUW196468 UES196468 UOO196468 UYK196468 VIG196468 VSC196468 WBY196468 WLU196468 WVQ196468 C262004 JE262004 TA262004 ACW262004 AMS262004 AWO262004 BGK262004 BQG262004 CAC262004 CJY262004 CTU262004 DDQ262004 DNM262004 DXI262004 EHE262004 ERA262004 FAW262004 FKS262004 FUO262004 GEK262004 GOG262004 GYC262004 HHY262004 HRU262004 IBQ262004 ILM262004 IVI262004 JFE262004 JPA262004 JYW262004 KIS262004 KSO262004 LCK262004 LMG262004 LWC262004 MFY262004 MPU262004 MZQ262004 NJM262004 NTI262004 ODE262004 ONA262004 OWW262004 PGS262004 PQO262004 QAK262004 QKG262004 QUC262004 RDY262004 RNU262004 RXQ262004 SHM262004 SRI262004 TBE262004 TLA262004 TUW262004 UES262004 UOO262004 UYK262004 VIG262004 VSC262004 WBY262004 WLU262004 WVQ262004 C327540 JE327540 TA327540 ACW327540 AMS327540 AWO327540 BGK327540 BQG327540 CAC327540 CJY327540 CTU327540 DDQ327540 DNM327540 DXI327540 EHE327540 ERA327540 FAW327540 FKS327540 FUO327540 GEK327540 GOG327540 GYC327540 HHY327540 HRU327540 IBQ327540 ILM327540 IVI327540 JFE327540 JPA327540 JYW327540 KIS327540 KSO327540 LCK327540 LMG327540 LWC327540 MFY327540 MPU327540 MZQ327540 NJM327540 NTI327540 ODE327540 ONA327540 OWW327540 PGS327540 PQO327540 QAK327540 QKG327540 QUC327540 RDY327540 RNU327540 RXQ327540 SHM327540 SRI327540 TBE327540 TLA327540 TUW327540 UES327540 UOO327540 UYK327540 VIG327540 VSC327540 WBY327540 WLU327540 WVQ327540 C393076 JE393076 TA393076 ACW393076 AMS393076 AWO393076 BGK393076 BQG393076 CAC393076 CJY393076 CTU393076 DDQ393076 DNM393076 DXI393076 EHE393076 ERA393076 FAW393076 FKS393076 FUO393076 GEK393076 GOG393076 GYC393076 HHY393076 HRU393076 IBQ393076 ILM393076 IVI393076 JFE393076 JPA393076 JYW393076 KIS393076 KSO393076 LCK393076 LMG393076 LWC393076 MFY393076 MPU393076 MZQ393076 NJM393076 NTI393076 ODE393076 ONA393076 OWW393076 PGS393076 PQO393076 QAK393076 QKG393076 QUC393076 RDY393076 RNU393076 RXQ393076 SHM393076 SRI393076 TBE393076 TLA393076 TUW393076 UES393076 UOO393076 UYK393076 VIG393076 VSC393076 WBY393076 WLU393076 WVQ393076 C458612 JE458612 TA458612 ACW458612 AMS458612 AWO458612 BGK458612 BQG458612 CAC458612 CJY458612 CTU458612 DDQ458612 DNM458612 DXI458612 EHE458612 ERA458612 FAW458612 FKS458612 FUO458612 GEK458612 GOG458612 GYC458612 HHY458612 HRU458612 IBQ458612 ILM458612 IVI458612 JFE458612 JPA458612 JYW458612 KIS458612 KSO458612 LCK458612 LMG458612 LWC458612 MFY458612 MPU458612 MZQ458612 NJM458612 NTI458612 ODE458612 ONA458612 OWW458612 PGS458612 PQO458612 QAK458612 QKG458612 QUC458612 RDY458612 RNU458612 RXQ458612 SHM458612 SRI458612 TBE458612 TLA458612 TUW458612 UES458612 UOO458612 UYK458612 VIG458612 VSC458612 WBY458612 WLU458612 WVQ458612 C524148 JE524148 TA524148 ACW524148 AMS524148 AWO524148 BGK524148 BQG524148 CAC524148 CJY524148 CTU524148 DDQ524148 DNM524148 DXI524148 EHE524148 ERA524148 FAW524148 FKS524148 FUO524148 GEK524148 GOG524148 GYC524148 HHY524148 HRU524148 IBQ524148 ILM524148 IVI524148 JFE524148 JPA524148 JYW524148 KIS524148 KSO524148 LCK524148 LMG524148 LWC524148 MFY524148 MPU524148 MZQ524148 NJM524148 NTI524148 ODE524148 ONA524148 OWW524148 PGS524148 PQO524148 QAK524148 QKG524148 QUC524148 RDY524148 RNU524148 RXQ524148 SHM524148 SRI524148 TBE524148 TLA524148 TUW524148 UES524148 UOO524148 UYK524148 VIG524148 VSC524148 WBY524148 WLU524148 WVQ524148 C589684 JE589684 TA589684 ACW589684 AMS589684 AWO589684 BGK589684 BQG589684 CAC589684 CJY589684 CTU589684 DDQ589684 DNM589684 DXI589684 EHE589684 ERA589684 FAW589684 FKS589684 FUO589684 GEK589684 GOG589684 GYC589684 HHY589684 HRU589684 IBQ589684 ILM589684 IVI589684 JFE589684 JPA589684 JYW589684 KIS589684 KSO589684 LCK589684 LMG589684 LWC589684 MFY589684 MPU589684 MZQ589684 NJM589684 NTI589684 ODE589684 ONA589684 OWW589684 PGS589684 PQO589684 QAK589684 QKG589684 QUC589684 RDY589684 RNU589684 RXQ589684 SHM589684 SRI589684 TBE589684 TLA589684 TUW589684 UES589684 UOO589684 UYK589684 VIG589684 VSC589684 WBY589684 WLU589684 WVQ589684 C655220 JE655220 TA655220 ACW655220 AMS655220 AWO655220 BGK655220 BQG655220 CAC655220 CJY655220 CTU655220 DDQ655220 DNM655220 DXI655220 EHE655220 ERA655220 FAW655220 FKS655220 FUO655220 GEK655220 GOG655220 GYC655220 HHY655220 HRU655220 IBQ655220 ILM655220 IVI655220 JFE655220 JPA655220 JYW655220 KIS655220 KSO655220 LCK655220 LMG655220 LWC655220 MFY655220 MPU655220 MZQ655220 NJM655220 NTI655220 ODE655220 ONA655220 OWW655220 PGS655220 PQO655220 QAK655220 QKG655220 QUC655220 RDY655220 RNU655220 RXQ655220 SHM655220 SRI655220 TBE655220 TLA655220 TUW655220 UES655220 UOO655220 UYK655220 VIG655220 VSC655220 WBY655220 WLU655220 WVQ655220 C720756 JE720756 TA720756 ACW720756 AMS720756 AWO720756 BGK720756 BQG720756 CAC720756 CJY720756 CTU720756 DDQ720756 DNM720756 DXI720756 EHE720756 ERA720756 FAW720756 FKS720756 FUO720756 GEK720756 GOG720756 GYC720756 HHY720756 HRU720756 IBQ720756 ILM720756 IVI720756 JFE720756 JPA720756 JYW720756 KIS720756 KSO720756 LCK720756 LMG720756 LWC720756 MFY720756 MPU720756 MZQ720756 NJM720756 NTI720756 ODE720756 ONA720756 OWW720756 PGS720756 PQO720756 QAK720756 QKG720756 QUC720756 RDY720756 RNU720756 RXQ720756 SHM720756 SRI720756 TBE720756 TLA720756 TUW720756 UES720756 UOO720756 UYK720756 VIG720756 VSC720756 WBY720756 WLU720756 WVQ720756 C786292 JE786292 TA786292 ACW786292 AMS786292 AWO786292 BGK786292 BQG786292 CAC786292 CJY786292 CTU786292 DDQ786292 DNM786292 DXI786292 EHE786292 ERA786292 FAW786292 FKS786292 FUO786292 GEK786292 GOG786292 GYC786292 HHY786292 HRU786292 IBQ786292 ILM786292 IVI786292 JFE786292 JPA786292 JYW786292 KIS786292 KSO786292 LCK786292 LMG786292 LWC786292 MFY786292 MPU786292 MZQ786292 NJM786292 NTI786292 ODE786292 ONA786292 OWW786292 PGS786292 PQO786292 QAK786292 QKG786292 QUC786292 RDY786292 RNU786292 RXQ786292 SHM786292 SRI786292 TBE786292 TLA786292 TUW786292 UES786292 UOO786292 UYK786292 VIG786292 VSC786292 WBY786292 WLU786292 WVQ786292 C851828 JE851828 TA851828 ACW851828 AMS851828 AWO851828 BGK851828 BQG851828 CAC851828 CJY851828 CTU851828 DDQ851828 DNM851828 DXI851828 EHE851828 ERA851828 FAW851828 FKS851828 FUO851828 GEK851828 GOG851828 GYC851828 HHY851828 HRU851828 IBQ851828 ILM851828 IVI851828 JFE851828 JPA851828 JYW851828 KIS851828 KSO851828 LCK851828 LMG851828 LWC851828 MFY851828 MPU851828 MZQ851828 NJM851828 NTI851828 ODE851828 ONA851828 OWW851828 PGS851828 PQO851828 QAK851828 QKG851828 QUC851828 RDY851828 RNU851828 RXQ851828 SHM851828 SRI851828 TBE851828 TLA851828 TUW851828 UES851828 UOO851828 UYK851828 VIG851828 VSC851828 WBY851828 WLU851828 WVQ851828 C917364 JE917364 TA917364 ACW917364 AMS917364 AWO917364 BGK917364 BQG917364 CAC917364 CJY917364 CTU917364 DDQ917364 DNM917364 DXI917364 EHE917364 ERA917364 FAW917364 FKS917364 FUO917364 GEK917364 GOG917364 GYC917364 HHY917364 HRU917364 IBQ917364 ILM917364 IVI917364 JFE917364 JPA917364 JYW917364 KIS917364 KSO917364 LCK917364 LMG917364 LWC917364 MFY917364 MPU917364 MZQ917364 NJM917364 NTI917364 ODE917364 ONA917364 OWW917364 PGS917364 PQO917364 QAK917364 QKG917364 QUC917364 RDY917364 RNU917364 RXQ917364 SHM917364 SRI917364 TBE917364 TLA917364 TUW917364 UES917364 UOO917364 UYK917364 VIG917364 VSC917364 WBY917364 WLU917364 WVQ917364 C982900 JE982900 TA982900 ACW982900 AMS982900 AWO982900 BGK982900 BQG982900 CAC982900 CJY982900 CTU982900 DDQ982900 DNM982900 DXI982900 EHE982900 ERA982900 FAW982900 FKS982900 FUO982900 GEK982900 GOG982900 GYC982900 HHY982900 HRU982900 IBQ982900 ILM982900 IVI982900 JFE982900 JPA982900 JYW982900 KIS982900 KSO982900 LCK982900 LMG982900 LWC982900 MFY982900 MPU982900 MZQ982900 NJM982900 NTI982900 ODE982900 ONA982900 OWW982900 PGS982900 PQO982900 QAK982900 QKG982900 QUC982900 RDY982900 RNU982900 RXQ982900 SHM982900 SRI982900 TBE982900 TLA982900 TUW982900 UES982900 UOO982900 UYK982900 VIG982900 VSC982900 WBY982900 WLU982900 WLU13:WLU97 WVQ13:WVQ97 JE13:JE97 TA13:TA97 ACW13:ACW97 AMS13:AMS97 AWO13:AWO97 BGK13:BGK97 BQG13:BQG97 CAC13:CAC97 CJY13:CJY97 CTU13:CTU97 DDQ13:DDQ97 DNM13:DNM97 DXI13:DXI97 EHE13:EHE97 ERA13:ERA97 FAW13:FAW97 FKS13:FKS97 FUO13:FUO97 GEK13:GEK97 GOG13:GOG97 GYC13:GYC97 HHY13:HHY97 HRU13:HRU97 IBQ13:IBQ97 ILM13:ILM97 IVI13:IVI97 JFE13:JFE97 JPA13:JPA97 JYW13:JYW97 KIS13:KIS97 KSO13:KSO97 LCK13:LCK97 LMG13:LMG97 LWC13:LWC97 MFY13:MFY97 MPU13:MPU97 MZQ13:MZQ97 NJM13:NJM97 NTI13:NTI97 ODE13:ODE97 ONA13:ONA97 OWW13:OWW97 PGS13:PGS97 PQO13:PQO97 QAK13:QAK97 QKG13:QKG97 QUC13:QUC97 RDY13:RDY97 RNU13:RNU97 RXQ13:RXQ97 SHM13:SHM97 SRI13:SRI97 TBE13:TBE97 TLA13:TLA97 TUW13:TUW97 UES13:UES97 UOO13:UOO97 UYK13:UYK97 VIG13:VIG97 VSC13:VSC97 WBY13:WBY97"/>
    <dataValidation allowBlank="1" showInputMessage="1" showErrorMessage="1" prompt="Bao gồm: tăng 300tr. đồng Ghi thu ghi chi quyền sử dụng đất khai thác quỹ đất khu phía Nam cầu Đăk bla (Thường xuyên)" sqref="R70"/>
    <dataValidation allowBlank="1" showInputMessage="1" showErrorMessage="1" prompt="Bao gồm Văn phòng điều phối CT MTQG NTM" sqref="M14"/>
    <dataValidation allowBlank="1" showInputMessage="1" showErrorMessage="1" prompt="Bộ Quốc phòng_x000a_" sqref="Q42"/>
    <dataValidation allowBlank="1" showInputMessage="1" showErrorMessage="1" prompt="Bao gồm cả BS cân đối để khớp với tổng chi NS tỉnh" sqref="T120"/>
  </dataValidations>
  <printOptions horizontalCentered="1"/>
  <pageMargins left="0" right="0" top="0.47244094488188981" bottom="0.51181102362204722" header="0.31496062992125984" footer="0"/>
  <pageSetup paperSize="9" scale="41" orientation="landscape" r:id="rId1"/>
  <headerFooter>
    <oddFooter>&amp;R&amp;P/&amp;N</oddFooter>
  </headerFooter>
  <colBreaks count="1" manualBreakCount="1">
    <brk id="27"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6"/>
  <sheetViews>
    <sheetView showZeros="0" topLeftCell="A4" zoomScale="70" zoomScaleNormal="70" zoomScaleSheetLayoutView="50" workbookViewId="0">
      <pane xSplit="2" ySplit="7" topLeftCell="C11" activePane="bottomRight" state="frozen"/>
      <selection activeCell="A4" sqref="A4"/>
      <selection pane="topRight" activeCell="C4" sqref="C4"/>
      <selection pane="bottomLeft" activeCell="A11" sqref="A11"/>
      <selection pane="bottomRight" activeCell="C11" sqref="C11"/>
    </sheetView>
  </sheetViews>
  <sheetFormatPr defaultRowHeight="15.75" outlineLevelCol="2"/>
  <cols>
    <col min="1" max="1" width="5.42578125" style="112" customWidth="1"/>
    <col min="2" max="2" width="45.140625" style="112" customWidth="1"/>
    <col min="3" max="3" width="15.140625" style="112" customWidth="1"/>
    <col min="4" max="4" width="16.42578125" style="112" customWidth="1" outlineLevel="1"/>
    <col min="5" max="5" width="17.140625" style="112" customWidth="1" outlineLevel="1"/>
    <col min="6" max="8" width="17.140625" style="112" hidden="1" customWidth="1" outlineLevel="2"/>
    <col min="9" max="9" width="15.85546875" style="112" customWidth="1" outlineLevel="1" collapsed="1"/>
    <col min="10" max="10" width="19.140625" style="112" customWidth="1" outlineLevel="1"/>
    <col min="11" max="11" width="11.140625" style="112" customWidth="1" outlineLevel="1"/>
    <col min="12" max="12" width="11.85546875" style="112" customWidth="1" outlineLevel="1"/>
    <col min="13" max="13" width="10.42578125" style="112" customWidth="1" outlineLevel="1"/>
    <col min="14" max="14" width="19.42578125" style="112" customWidth="1"/>
    <col min="15" max="15" width="14.140625" style="112" customWidth="1" outlineLevel="1"/>
    <col min="16" max="16" width="17.85546875" style="112" customWidth="1" outlineLevel="1"/>
    <col min="17" max="17" width="18.85546875" style="112" hidden="1" customWidth="1" outlineLevel="2"/>
    <col min="18" max="18" width="18.42578125" style="112" hidden="1" customWidth="1" outlineLevel="2"/>
    <col min="19" max="19" width="11.85546875" style="112" customWidth="1" outlineLevel="1" collapsed="1"/>
    <col min="20" max="20" width="20.7109375" style="112" customWidth="1" outlineLevel="1"/>
    <col min="21" max="21" width="15.5703125" style="112" customWidth="1" outlineLevel="1"/>
    <col min="22" max="23" width="12.5703125" style="112" customWidth="1" outlineLevel="1"/>
    <col min="24" max="24" width="15.5703125" style="112" customWidth="1" outlineLevel="1"/>
    <col min="25" max="25" width="13.7109375" style="112" hidden="1" customWidth="1" outlineLevel="2"/>
    <col min="26" max="26" width="11.7109375" style="112" hidden="1" customWidth="1" outlineLevel="2"/>
    <col min="27" max="27" width="15" style="112" customWidth="1" outlineLevel="1" collapsed="1"/>
    <col min="28" max="28" width="11.140625" style="112" customWidth="1"/>
    <col min="29" max="29" width="10.7109375" style="112" customWidth="1"/>
    <col min="30" max="30" width="9.7109375" style="112" customWidth="1"/>
    <col min="31" max="31" width="11.5703125" style="112" customWidth="1"/>
    <col min="32" max="32" width="16.28515625" style="96" customWidth="1"/>
    <col min="33" max="33" width="17.5703125" style="112" customWidth="1"/>
    <col min="34" max="34" width="31.140625" style="112" customWidth="1"/>
    <col min="35" max="35" width="16.7109375" style="112" customWidth="1"/>
    <col min="36" max="36" width="9.140625" style="112"/>
    <col min="37" max="37" width="22.28515625" style="112" customWidth="1"/>
    <col min="38" max="38" width="24.42578125" style="112" customWidth="1"/>
    <col min="39" max="262" width="9.140625" style="112"/>
    <col min="263" max="263" width="5.42578125" style="112" customWidth="1"/>
    <col min="264" max="264" width="45.140625" style="112" customWidth="1"/>
    <col min="265" max="266" width="12" style="112" customWidth="1"/>
    <col min="267" max="267" width="16.140625" style="112" customWidth="1"/>
    <col min="268" max="268" width="7.7109375" style="112" customWidth="1"/>
    <col min="269" max="269" width="12" style="112" customWidth="1"/>
    <col min="270" max="271" width="9" style="112" customWidth="1"/>
    <col min="272" max="272" width="11.28515625" style="112" customWidth="1"/>
    <col min="273" max="274" width="12" style="112" customWidth="1"/>
    <col min="275" max="275" width="17.140625" style="112" customWidth="1"/>
    <col min="276" max="276" width="9" style="112" customWidth="1"/>
    <col min="277" max="277" width="12" style="112" customWidth="1"/>
    <col min="278" max="279" width="9" style="112" customWidth="1"/>
    <col min="280" max="280" width="9.85546875" style="112" customWidth="1"/>
    <col min="281" max="281" width="10.140625" style="112" customWidth="1"/>
    <col min="282" max="282" width="7.85546875" style="112" customWidth="1"/>
    <col min="283" max="283" width="8.5703125" style="112" customWidth="1"/>
    <col min="284" max="284" width="7.85546875" style="112" customWidth="1"/>
    <col min="285" max="285" width="8.7109375" style="112" customWidth="1"/>
    <col min="286" max="518" width="9.140625" style="112"/>
    <col min="519" max="519" width="5.42578125" style="112" customWidth="1"/>
    <col min="520" max="520" width="45.140625" style="112" customWidth="1"/>
    <col min="521" max="522" width="12" style="112" customWidth="1"/>
    <col min="523" max="523" width="16.140625" style="112" customWidth="1"/>
    <col min="524" max="524" width="7.7109375" style="112" customWidth="1"/>
    <col min="525" max="525" width="12" style="112" customWidth="1"/>
    <col min="526" max="527" width="9" style="112" customWidth="1"/>
    <col min="528" max="528" width="11.28515625" style="112" customWidth="1"/>
    <col min="529" max="530" width="12" style="112" customWidth="1"/>
    <col min="531" max="531" width="17.140625" style="112" customWidth="1"/>
    <col min="532" max="532" width="9" style="112" customWidth="1"/>
    <col min="533" max="533" width="12" style="112" customWidth="1"/>
    <col min="534" max="535" width="9" style="112" customWidth="1"/>
    <col min="536" max="536" width="9.85546875" style="112" customWidth="1"/>
    <col min="537" max="537" width="10.140625" style="112" customWidth="1"/>
    <col min="538" max="538" width="7.85546875" style="112" customWidth="1"/>
    <col min="539" max="539" width="8.5703125" style="112" customWidth="1"/>
    <col min="540" max="540" width="7.85546875" style="112" customWidth="1"/>
    <col min="541" max="541" width="8.7109375" style="112" customWidth="1"/>
    <col min="542" max="774" width="9.140625" style="112"/>
    <col min="775" max="775" width="5.42578125" style="112" customWidth="1"/>
    <col min="776" max="776" width="45.140625" style="112" customWidth="1"/>
    <col min="777" max="778" width="12" style="112" customWidth="1"/>
    <col min="779" max="779" width="16.140625" style="112" customWidth="1"/>
    <col min="780" max="780" width="7.7109375" style="112" customWidth="1"/>
    <col min="781" max="781" width="12" style="112" customWidth="1"/>
    <col min="782" max="783" width="9" style="112" customWidth="1"/>
    <col min="784" max="784" width="11.28515625" style="112" customWidth="1"/>
    <col min="785" max="786" width="12" style="112" customWidth="1"/>
    <col min="787" max="787" width="17.140625" style="112" customWidth="1"/>
    <col min="788" max="788" width="9" style="112" customWidth="1"/>
    <col min="789" max="789" width="12" style="112" customWidth="1"/>
    <col min="790" max="791" width="9" style="112" customWidth="1"/>
    <col min="792" max="792" width="9.85546875" style="112" customWidth="1"/>
    <col min="793" max="793" width="10.140625" style="112" customWidth="1"/>
    <col min="794" max="794" width="7.85546875" style="112" customWidth="1"/>
    <col min="795" max="795" width="8.5703125" style="112" customWidth="1"/>
    <col min="796" max="796" width="7.85546875" style="112" customWidth="1"/>
    <col min="797" max="797" width="8.7109375" style="112" customWidth="1"/>
    <col min="798" max="1030" width="9.140625" style="112"/>
    <col min="1031" max="1031" width="5.42578125" style="112" customWidth="1"/>
    <col min="1032" max="1032" width="45.140625" style="112" customWidth="1"/>
    <col min="1033" max="1034" width="12" style="112" customWidth="1"/>
    <col min="1035" max="1035" width="16.140625" style="112" customWidth="1"/>
    <col min="1036" max="1036" width="7.7109375" style="112" customWidth="1"/>
    <col min="1037" max="1037" width="12" style="112" customWidth="1"/>
    <col min="1038" max="1039" width="9" style="112" customWidth="1"/>
    <col min="1040" max="1040" width="11.28515625" style="112" customWidth="1"/>
    <col min="1041" max="1042" width="12" style="112" customWidth="1"/>
    <col min="1043" max="1043" width="17.140625" style="112" customWidth="1"/>
    <col min="1044" max="1044" width="9" style="112" customWidth="1"/>
    <col min="1045" max="1045" width="12" style="112" customWidth="1"/>
    <col min="1046" max="1047" width="9" style="112" customWidth="1"/>
    <col min="1048" max="1048" width="9.85546875" style="112" customWidth="1"/>
    <col min="1049" max="1049" width="10.140625" style="112" customWidth="1"/>
    <col min="1050" max="1050" width="7.85546875" style="112" customWidth="1"/>
    <col min="1051" max="1051" width="8.5703125" style="112" customWidth="1"/>
    <col min="1052" max="1052" width="7.85546875" style="112" customWidth="1"/>
    <col min="1053" max="1053" width="8.7109375" style="112" customWidth="1"/>
    <col min="1054" max="1286" width="9.140625" style="112"/>
    <col min="1287" max="1287" width="5.42578125" style="112" customWidth="1"/>
    <col min="1288" max="1288" width="45.140625" style="112" customWidth="1"/>
    <col min="1289" max="1290" width="12" style="112" customWidth="1"/>
    <col min="1291" max="1291" width="16.140625" style="112" customWidth="1"/>
    <col min="1292" max="1292" width="7.7109375" style="112" customWidth="1"/>
    <col min="1293" max="1293" width="12" style="112" customWidth="1"/>
    <col min="1294" max="1295" width="9" style="112" customWidth="1"/>
    <col min="1296" max="1296" width="11.28515625" style="112" customWidth="1"/>
    <col min="1297" max="1298" width="12" style="112" customWidth="1"/>
    <col min="1299" max="1299" width="17.140625" style="112" customWidth="1"/>
    <col min="1300" max="1300" width="9" style="112" customWidth="1"/>
    <col min="1301" max="1301" width="12" style="112" customWidth="1"/>
    <col min="1302" max="1303" width="9" style="112" customWidth="1"/>
    <col min="1304" max="1304" width="9.85546875" style="112" customWidth="1"/>
    <col min="1305" max="1305" width="10.140625" style="112" customWidth="1"/>
    <col min="1306" max="1306" width="7.85546875" style="112" customWidth="1"/>
    <col min="1307" max="1307" width="8.5703125" style="112" customWidth="1"/>
    <col min="1308" max="1308" width="7.85546875" style="112" customWidth="1"/>
    <col min="1309" max="1309" width="8.7109375" style="112" customWidth="1"/>
    <col min="1310" max="1542" width="9.140625" style="112"/>
    <col min="1543" max="1543" width="5.42578125" style="112" customWidth="1"/>
    <col min="1544" max="1544" width="45.140625" style="112" customWidth="1"/>
    <col min="1545" max="1546" width="12" style="112" customWidth="1"/>
    <col min="1547" max="1547" width="16.140625" style="112" customWidth="1"/>
    <col min="1548" max="1548" width="7.7109375" style="112" customWidth="1"/>
    <col min="1549" max="1549" width="12" style="112" customWidth="1"/>
    <col min="1550" max="1551" width="9" style="112" customWidth="1"/>
    <col min="1552" max="1552" width="11.28515625" style="112" customWidth="1"/>
    <col min="1553" max="1554" width="12" style="112" customWidth="1"/>
    <col min="1555" max="1555" width="17.140625" style="112" customWidth="1"/>
    <col min="1556" max="1556" width="9" style="112" customWidth="1"/>
    <col min="1557" max="1557" width="12" style="112" customWidth="1"/>
    <col min="1558" max="1559" width="9" style="112" customWidth="1"/>
    <col min="1560" max="1560" width="9.85546875" style="112" customWidth="1"/>
    <col min="1561" max="1561" width="10.140625" style="112" customWidth="1"/>
    <col min="1562" max="1562" width="7.85546875" style="112" customWidth="1"/>
    <col min="1563" max="1563" width="8.5703125" style="112" customWidth="1"/>
    <col min="1564" max="1564" width="7.85546875" style="112" customWidth="1"/>
    <col min="1565" max="1565" width="8.7109375" style="112" customWidth="1"/>
    <col min="1566" max="1798" width="9.140625" style="112"/>
    <col min="1799" max="1799" width="5.42578125" style="112" customWidth="1"/>
    <col min="1800" max="1800" width="45.140625" style="112" customWidth="1"/>
    <col min="1801" max="1802" width="12" style="112" customWidth="1"/>
    <col min="1803" max="1803" width="16.140625" style="112" customWidth="1"/>
    <col min="1804" max="1804" width="7.7109375" style="112" customWidth="1"/>
    <col min="1805" max="1805" width="12" style="112" customWidth="1"/>
    <col min="1806" max="1807" width="9" style="112" customWidth="1"/>
    <col min="1808" max="1808" width="11.28515625" style="112" customWidth="1"/>
    <col min="1809" max="1810" width="12" style="112" customWidth="1"/>
    <col min="1811" max="1811" width="17.140625" style="112" customWidth="1"/>
    <col min="1812" max="1812" width="9" style="112" customWidth="1"/>
    <col min="1813" max="1813" width="12" style="112" customWidth="1"/>
    <col min="1814" max="1815" width="9" style="112" customWidth="1"/>
    <col min="1816" max="1816" width="9.85546875" style="112" customWidth="1"/>
    <col min="1817" max="1817" width="10.140625" style="112" customWidth="1"/>
    <col min="1818" max="1818" width="7.85546875" style="112" customWidth="1"/>
    <col min="1819" max="1819" width="8.5703125" style="112" customWidth="1"/>
    <col min="1820" max="1820" width="7.85546875" style="112" customWidth="1"/>
    <col min="1821" max="1821" width="8.7109375" style="112" customWidth="1"/>
    <col min="1822" max="2054" width="9.140625" style="112"/>
    <col min="2055" max="2055" width="5.42578125" style="112" customWidth="1"/>
    <col min="2056" max="2056" width="45.140625" style="112" customWidth="1"/>
    <col min="2057" max="2058" width="12" style="112" customWidth="1"/>
    <col min="2059" max="2059" width="16.140625" style="112" customWidth="1"/>
    <col min="2060" max="2060" width="7.7109375" style="112" customWidth="1"/>
    <col min="2061" max="2061" width="12" style="112" customWidth="1"/>
    <col min="2062" max="2063" width="9" style="112" customWidth="1"/>
    <col min="2064" max="2064" width="11.28515625" style="112" customWidth="1"/>
    <col min="2065" max="2066" width="12" style="112" customWidth="1"/>
    <col min="2067" max="2067" width="17.140625" style="112" customWidth="1"/>
    <col min="2068" max="2068" width="9" style="112" customWidth="1"/>
    <col min="2069" max="2069" width="12" style="112" customWidth="1"/>
    <col min="2070" max="2071" width="9" style="112" customWidth="1"/>
    <col min="2072" max="2072" width="9.85546875" style="112" customWidth="1"/>
    <col min="2073" max="2073" width="10.140625" style="112" customWidth="1"/>
    <col min="2074" max="2074" width="7.85546875" style="112" customWidth="1"/>
    <col min="2075" max="2075" width="8.5703125" style="112" customWidth="1"/>
    <col min="2076" max="2076" width="7.85546875" style="112" customWidth="1"/>
    <col min="2077" max="2077" width="8.7109375" style="112" customWidth="1"/>
    <col min="2078" max="2310" width="9.140625" style="112"/>
    <col min="2311" max="2311" width="5.42578125" style="112" customWidth="1"/>
    <col min="2312" max="2312" width="45.140625" style="112" customWidth="1"/>
    <col min="2313" max="2314" width="12" style="112" customWidth="1"/>
    <col min="2315" max="2315" width="16.140625" style="112" customWidth="1"/>
    <col min="2316" max="2316" width="7.7109375" style="112" customWidth="1"/>
    <col min="2317" max="2317" width="12" style="112" customWidth="1"/>
    <col min="2318" max="2319" width="9" style="112" customWidth="1"/>
    <col min="2320" max="2320" width="11.28515625" style="112" customWidth="1"/>
    <col min="2321" max="2322" width="12" style="112" customWidth="1"/>
    <col min="2323" max="2323" width="17.140625" style="112" customWidth="1"/>
    <col min="2324" max="2324" width="9" style="112" customWidth="1"/>
    <col min="2325" max="2325" width="12" style="112" customWidth="1"/>
    <col min="2326" max="2327" width="9" style="112" customWidth="1"/>
    <col min="2328" max="2328" width="9.85546875" style="112" customWidth="1"/>
    <col min="2329" max="2329" width="10.140625" style="112" customWidth="1"/>
    <col min="2330" max="2330" width="7.85546875" style="112" customWidth="1"/>
    <col min="2331" max="2331" width="8.5703125" style="112" customWidth="1"/>
    <col min="2332" max="2332" width="7.85546875" style="112" customWidth="1"/>
    <col min="2333" max="2333" width="8.7109375" style="112" customWidth="1"/>
    <col min="2334" max="2566" width="9.140625" style="112"/>
    <col min="2567" max="2567" width="5.42578125" style="112" customWidth="1"/>
    <col min="2568" max="2568" width="45.140625" style="112" customWidth="1"/>
    <col min="2569" max="2570" width="12" style="112" customWidth="1"/>
    <col min="2571" max="2571" width="16.140625" style="112" customWidth="1"/>
    <col min="2572" max="2572" width="7.7109375" style="112" customWidth="1"/>
    <col min="2573" max="2573" width="12" style="112" customWidth="1"/>
    <col min="2574" max="2575" width="9" style="112" customWidth="1"/>
    <col min="2576" max="2576" width="11.28515625" style="112" customWidth="1"/>
    <col min="2577" max="2578" width="12" style="112" customWidth="1"/>
    <col min="2579" max="2579" width="17.140625" style="112" customWidth="1"/>
    <col min="2580" max="2580" width="9" style="112" customWidth="1"/>
    <col min="2581" max="2581" width="12" style="112" customWidth="1"/>
    <col min="2582" max="2583" width="9" style="112" customWidth="1"/>
    <col min="2584" max="2584" width="9.85546875" style="112" customWidth="1"/>
    <col min="2585" max="2585" width="10.140625" style="112" customWidth="1"/>
    <col min="2586" max="2586" width="7.85546875" style="112" customWidth="1"/>
    <col min="2587" max="2587" width="8.5703125" style="112" customWidth="1"/>
    <col min="2588" max="2588" width="7.85546875" style="112" customWidth="1"/>
    <col min="2589" max="2589" width="8.7109375" style="112" customWidth="1"/>
    <col min="2590" max="2822" width="9.140625" style="112"/>
    <col min="2823" max="2823" width="5.42578125" style="112" customWidth="1"/>
    <col min="2824" max="2824" width="45.140625" style="112" customWidth="1"/>
    <col min="2825" max="2826" width="12" style="112" customWidth="1"/>
    <col min="2827" max="2827" width="16.140625" style="112" customWidth="1"/>
    <col min="2828" max="2828" width="7.7109375" style="112" customWidth="1"/>
    <col min="2829" max="2829" width="12" style="112" customWidth="1"/>
    <col min="2830" max="2831" width="9" style="112" customWidth="1"/>
    <col min="2832" max="2832" width="11.28515625" style="112" customWidth="1"/>
    <col min="2833" max="2834" width="12" style="112" customWidth="1"/>
    <col min="2835" max="2835" width="17.140625" style="112" customWidth="1"/>
    <col min="2836" max="2836" width="9" style="112" customWidth="1"/>
    <col min="2837" max="2837" width="12" style="112" customWidth="1"/>
    <col min="2838" max="2839" width="9" style="112" customWidth="1"/>
    <col min="2840" max="2840" width="9.85546875" style="112" customWidth="1"/>
    <col min="2841" max="2841" width="10.140625" style="112" customWidth="1"/>
    <col min="2842" max="2842" width="7.85546875" style="112" customWidth="1"/>
    <col min="2843" max="2843" width="8.5703125" style="112" customWidth="1"/>
    <col min="2844" max="2844" width="7.85546875" style="112" customWidth="1"/>
    <col min="2845" max="2845" width="8.7109375" style="112" customWidth="1"/>
    <col min="2846" max="3078" width="9.140625" style="112"/>
    <col min="3079" max="3079" width="5.42578125" style="112" customWidth="1"/>
    <col min="3080" max="3080" width="45.140625" style="112" customWidth="1"/>
    <col min="3081" max="3082" width="12" style="112" customWidth="1"/>
    <col min="3083" max="3083" width="16.140625" style="112" customWidth="1"/>
    <col min="3084" max="3084" width="7.7109375" style="112" customWidth="1"/>
    <col min="3085" max="3085" width="12" style="112" customWidth="1"/>
    <col min="3086" max="3087" width="9" style="112" customWidth="1"/>
    <col min="3088" max="3088" width="11.28515625" style="112" customWidth="1"/>
    <col min="3089" max="3090" width="12" style="112" customWidth="1"/>
    <col min="3091" max="3091" width="17.140625" style="112" customWidth="1"/>
    <col min="3092" max="3092" width="9" style="112" customWidth="1"/>
    <col min="3093" max="3093" width="12" style="112" customWidth="1"/>
    <col min="3094" max="3095" width="9" style="112" customWidth="1"/>
    <col min="3096" max="3096" width="9.85546875" style="112" customWidth="1"/>
    <col min="3097" max="3097" width="10.140625" style="112" customWidth="1"/>
    <col min="3098" max="3098" width="7.85546875" style="112" customWidth="1"/>
    <col min="3099" max="3099" width="8.5703125" style="112" customWidth="1"/>
    <col min="3100" max="3100" width="7.85546875" style="112" customWidth="1"/>
    <col min="3101" max="3101" width="8.7109375" style="112" customWidth="1"/>
    <col min="3102" max="3334" width="9.140625" style="112"/>
    <col min="3335" max="3335" width="5.42578125" style="112" customWidth="1"/>
    <col min="3336" max="3336" width="45.140625" style="112" customWidth="1"/>
    <col min="3337" max="3338" width="12" style="112" customWidth="1"/>
    <col min="3339" max="3339" width="16.140625" style="112" customWidth="1"/>
    <col min="3340" max="3340" width="7.7109375" style="112" customWidth="1"/>
    <col min="3341" max="3341" width="12" style="112" customWidth="1"/>
    <col min="3342" max="3343" width="9" style="112" customWidth="1"/>
    <col min="3344" max="3344" width="11.28515625" style="112" customWidth="1"/>
    <col min="3345" max="3346" width="12" style="112" customWidth="1"/>
    <col min="3347" max="3347" width="17.140625" style="112" customWidth="1"/>
    <col min="3348" max="3348" width="9" style="112" customWidth="1"/>
    <col min="3349" max="3349" width="12" style="112" customWidth="1"/>
    <col min="3350" max="3351" width="9" style="112" customWidth="1"/>
    <col min="3352" max="3352" width="9.85546875" style="112" customWidth="1"/>
    <col min="3353" max="3353" width="10.140625" style="112" customWidth="1"/>
    <col min="3354" max="3354" width="7.85546875" style="112" customWidth="1"/>
    <col min="3355" max="3355" width="8.5703125" style="112" customWidth="1"/>
    <col min="3356" max="3356" width="7.85546875" style="112" customWidth="1"/>
    <col min="3357" max="3357" width="8.7109375" style="112" customWidth="1"/>
    <col min="3358" max="3590" width="9.140625" style="112"/>
    <col min="3591" max="3591" width="5.42578125" style="112" customWidth="1"/>
    <col min="3592" max="3592" width="45.140625" style="112" customWidth="1"/>
    <col min="3593" max="3594" width="12" style="112" customWidth="1"/>
    <col min="3595" max="3595" width="16.140625" style="112" customWidth="1"/>
    <col min="3596" max="3596" width="7.7109375" style="112" customWidth="1"/>
    <col min="3597" max="3597" width="12" style="112" customWidth="1"/>
    <col min="3598" max="3599" width="9" style="112" customWidth="1"/>
    <col min="3600" max="3600" width="11.28515625" style="112" customWidth="1"/>
    <col min="3601" max="3602" width="12" style="112" customWidth="1"/>
    <col min="3603" max="3603" width="17.140625" style="112" customWidth="1"/>
    <col min="3604" max="3604" width="9" style="112" customWidth="1"/>
    <col min="3605" max="3605" width="12" style="112" customWidth="1"/>
    <col min="3606" max="3607" width="9" style="112" customWidth="1"/>
    <col min="3608" max="3608" width="9.85546875" style="112" customWidth="1"/>
    <col min="3609" max="3609" width="10.140625" style="112" customWidth="1"/>
    <col min="3610" max="3610" width="7.85546875" style="112" customWidth="1"/>
    <col min="3611" max="3611" width="8.5703125" style="112" customWidth="1"/>
    <col min="3612" max="3612" width="7.85546875" style="112" customWidth="1"/>
    <col min="3613" max="3613" width="8.7109375" style="112" customWidth="1"/>
    <col min="3614" max="3846" width="9.140625" style="112"/>
    <col min="3847" max="3847" width="5.42578125" style="112" customWidth="1"/>
    <col min="3848" max="3848" width="45.140625" style="112" customWidth="1"/>
    <col min="3849" max="3850" width="12" style="112" customWidth="1"/>
    <col min="3851" max="3851" width="16.140625" style="112" customWidth="1"/>
    <col min="3852" max="3852" width="7.7109375" style="112" customWidth="1"/>
    <col min="3853" max="3853" width="12" style="112" customWidth="1"/>
    <col min="3854" max="3855" width="9" style="112" customWidth="1"/>
    <col min="3856" max="3856" width="11.28515625" style="112" customWidth="1"/>
    <col min="3857" max="3858" width="12" style="112" customWidth="1"/>
    <col min="3859" max="3859" width="17.140625" style="112" customWidth="1"/>
    <col min="3860" max="3860" width="9" style="112" customWidth="1"/>
    <col min="3861" max="3861" width="12" style="112" customWidth="1"/>
    <col min="3862" max="3863" width="9" style="112" customWidth="1"/>
    <col min="3864" max="3864" width="9.85546875" style="112" customWidth="1"/>
    <col min="3865" max="3865" width="10.140625" style="112" customWidth="1"/>
    <col min="3866" max="3866" width="7.85546875" style="112" customWidth="1"/>
    <col min="3867" max="3867" width="8.5703125" style="112" customWidth="1"/>
    <col min="3868" max="3868" width="7.85546875" style="112" customWidth="1"/>
    <col min="3869" max="3869" width="8.7109375" style="112" customWidth="1"/>
    <col min="3870" max="4102" width="9.140625" style="112"/>
    <col min="4103" max="4103" width="5.42578125" style="112" customWidth="1"/>
    <col min="4104" max="4104" width="45.140625" style="112" customWidth="1"/>
    <col min="4105" max="4106" width="12" style="112" customWidth="1"/>
    <col min="4107" max="4107" width="16.140625" style="112" customWidth="1"/>
    <col min="4108" max="4108" width="7.7109375" style="112" customWidth="1"/>
    <col min="4109" max="4109" width="12" style="112" customWidth="1"/>
    <col min="4110" max="4111" width="9" style="112" customWidth="1"/>
    <col min="4112" max="4112" width="11.28515625" style="112" customWidth="1"/>
    <col min="4113" max="4114" width="12" style="112" customWidth="1"/>
    <col min="4115" max="4115" width="17.140625" style="112" customWidth="1"/>
    <col min="4116" max="4116" width="9" style="112" customWidth="1"/>
    <col min="4117" max="4117" width="12" style="112" customWidth="1"/>
    <col min="4118" max="4119" width="9" style="112" customWidth="1"/>
    <col min="4120" max="4120" width="9.85546875" style="112" customWidth="1"/>
    <col min="4121" max="4121" width="10.140625" style="112" customWidth="1"/>
    <col min="4122" max="4122" width="7.85546875" style="112" customWidth="1"/>
    <col min="4123" max="4123" width="8.5703125" style="112" customWidth="1"/>
    <col min="4124" max="4124" width="7.85546875" style="112" customWidth="1"/>
    <col min="4125" max="4125" width="8.7109375" style="112" customWidth="1"/>
    <col min="4126" max="4358" width="9.140625" style="112"/>
    <col min="4359" max="4359" width="5.42578125" style="112" customWidth="1"/>
    <col min="4360" max="4360" width="45.140625" style="112" customWidth="1"/>
    <col min="4361" max="4362" width="12" style="112" customWidth="1"/>
    <col min="4363" max="4363" width="16.140625" style="112" customWidth="1"/>
    <col min="4364" max="4364" width="7.7109375" style="112" customWidth="1"/>
    <col min="4365" max="4365" width="12" style="112" customWidth="1"/>
    <col min="4366" max="4367" width="9" style="112" customWidth="1"/>
    <col min="4368" max="4368" width="11.28515625" style="112" customWidth="1"/>
    <col min="4369" max="4370" width="12" style="112" customWidth="1"/>
    <col min="4371" max="4371" width="17.140625" style="112" customWidth="1"/>
    <col min="4372" max="4372" width="9" style="112" customWidth="1"/>
    <col min="4373" max="4373" width="12" style="112" customWidth="1"/>
    <col min="4374" max="4375" width="9" style="112" customWidth="1"/>
    <col min="4376" max="4376" width="9.85546875" style="112" customWidth="1"/>
    <col min="4377" max="4377" width="10.140625" style="112" customWidth="1"/>
    <col min="4378" max="4378" width="7.85546875" style="112" customWidth="1"/>
    <col min="4379" max="4379" width="8.5703125" style="112" customWidth="1"/>
    <col min="4380" max="4380" width="7.85546875" style="112" customWidth="1"/>
    <col min="4381" max="4381" width="8.7109375" style="112" customWidth="1"/>
    <col min="4382" max="4614" width="9.140625" style="112"/>
    <col min="4615" max="4615" width="5.42578125" style="112" customWidth="1"/>
    <col min="4616" max="4616" width="45.140625" style="112" customWidth="1"/>
    <col min="4617" max="4618" width="12" style="112" customWidth="1"/>
    <col min="4619" max="4619" width="16.140625" style="112" customWidth="1"/>
    <col min="4620" max="4620" width="7.7109375" style="112" customWidth="1"/>
    <col min="4621" max="4621" width="12" style="112" customWidth="1"/>
    <col min="4622" max="4623" width="9" style="112" customWidth="1"/>
    <col min="4624" max="4624" width="11.28515625" style="112" customWidth="1"/>
    <col min="4625" max="4626" width="12" style="112" customWidth="1"/>
    <col min="4627" max="4627" width="17.140625" style="112" customWidth="1"/>
    <col min="4628" max="4628" width="9" style="112" customWidth="1"/>
    <col min="4629" max="4629" width="12" style="112" customWidth="1"/>
    <col min="4630" max="4631" width="9" style="112" customWidth="1"/>
    <col min="4632" max="4632" width="9.85546875" style="112" customWidth="1"/>
    <col min="4633" max="4633" width="10.140625" style="112" customWidth="1"/>
    <col min="4634" max="4634" width="7.85546875" style="112" customWidth="1"/>
    <col min="4635" max="4635" width="8.5703125" style="112" customWidth="1"/>
    <col min="4636" max="4636" width="7.85546875" style="112" customWidth="1"/>
    <col min="4637" max="4637" width="8.7109375" style="112" customWidth="1"/>
    <col min="4638" max="4870" width="9.140625" style="112"/>
    <col min="4871" max="4871" width="5.42578125" style="112" customWidth="1"/>
    <col min="4872" max="4872" width="45.140625" style="112" customWidth="1"/>
    <col min="4873" max="4874" width="12" style="112" customWidth="1"/>
    <col min="4875" max="4875" width="16.140625" style="112" customWidth="1"/>
    <col min="4876" max="4876" width="7.7109375" style="112" customWidth="1"/>
    <col min="4877" max="4877" width="12" style="112" customWidth="1"/>
    <col min="4878" max="4879" width="9" style="112" customWidth="1"/>
    <col min="4880" max="4880" width="11.28515625" style="112" customWidth="1"/>
    <col min="4881" max="4882" width="12" style="112" customWidth="1"/>
    <col min="4883" max="4883" width="17.140625" style="112" customWidth="1"/>
    <col min="4884" max="4884" width="9" style="112" customWidth="1"/>
    <col min="4885" max="4885" width="12" style="112" customWidth="1"/>
    <col min="4886" max="4887" width="9" style="112" customWidth="1"/>
    <col min="4888" max="4888" width="9.85546875" style="112" customWidth="1"/>
    <col min="4889" max="4889" width="10.140625" style="112" customWidth="1"/>
    <col min="4890" max="4890" width="7.85546875" style="112" customWidth="1"/>
    <col min="4891" max="4891" width="8.5703125" style="112" customWidth="1"/>
    <col min="4892" max="4892" width="7.85546875" style="112" customWidth="1"/>
    <col min="4893" max="4893" width="8.7109375" style="112" customWidth="1"/>
    <col min="4894" max="5126" width="9.140625" style="112"/>
    <col min="5127" max="5127" width="5.42578125" style="112" customWidth="1"/>
    <col min="5128" max="5128" width="45.140625" style="112" customWidth="1"/>
    <col min="5129" max="5130" width="12" style="112" customWidth="1"/>
    <col min="5131" max="5131" width="16.140625" style="112" customWidth="1"/>
    <col min="5132" max="5132" width="7.7109375" style="112" customWidth="1"/>
    <col min="5133" max="5133" width="12" style="112" customWidth="1"/>
    <col min="5134" max="5135" width="9" style="112" customWidth="1"/>
    <col min="5136" max="5136" width="11.28515625" style="112" customWidth="1"/>
    <col min="5137" max="5138" width="12" style="112" customWidth="1"/>
    <col min="5139" max="5139" width="17.140625" style="112" customWidth="1"/>
    <col min="5140" max="5140" width="9" style="112" customWidth="1"/>
    <col min="5141" max="5141" width="12" style="112" customWidth="1"/>
    <col min="5142" max="5143" width="9" style="112" customWidth="1"/>
    <col min="5144" max="5144" width="9.85546875" style="112" customWidth="1"/>
    <col min="5145" max="5145" width="10.140625" style="112" customWidth="1"/>
    <col min="5146" max="5146" width="7.85546875" style="112" customWidth="1"/>
    <col min="5147" max="5147" width="8.5703125" style="112" customWidth="1"/>
    <col min="5148" max="5148" width="7.85546875" style="112" customWidth="1"/>
    <col min="5149" max="5149" width="8.7109375" style="112" customWidth="1"/>
    <col min="5150" max="5382" width="9.140625" style="112"/>
    <col min="5383" max="5383" width="5.42578125" style="112" customWidth="1"/>
    <col min="5384" max="5384" width="45.140625" style="112" customWidth="1"/>
    <col min="5385" max="5386" width="12" style="112" customWidth="1"/>
    <col min="5387" max="5387" width="16.140625" style="112" customWidth="1"/>
    <col min="5388" max="5388" width="7.7109375" style="112" customWidth="1"/>
    <col min="5389" max="5389" width="12" style="112" customWidth="1"/>
    <col min="5390" max="5391" width="9" style="112" customWidth="1"/>
    <col min="5392" max="5392" width="11.28515625" style="112" customWidth="1"/>
    <col min="5393" max="5394" width="12" style="112" customWidth="1"/>
    <col min="5395" max="5395" width="17.140625" style="112" customWidth="1"/>
    <col min="5396" max="5396" width="9" style="112" customWidth="1"/>
    <col min="5397" max="5397" width="12" style="112" customWidth="1"/>
    <col min="5398" max="5399" width="9" style="112" customWidth="1"/>
    <col min="5400" max="5400" width="9.85546875" style="112" customWidth="1"/>
    <col min="5401" max="5401" width="10.140625" style="112" customWidth="1"/>
    <col min="5402" max="5402" width="7.85546875" style="112" customWidth="1"/>
    <col min="5403" max="5403" width="8.5703125" style="112" customWidth="1"/>
    <col min="5404" max="5404" width="7.85546875" style="112" customWidth="1"/>
    <col min="5405" max="5405" width="8.7109375" style="112" customWidth="1"/>
    <col min="5406" max="5638" width="9.140625" style="112"/>
    <col min="5639" max="5639" width="5.42578125" style="112" customWidth="1"/>
    <col min="5640" max="5640" width="45.140625" style="112" customWidth="1"/>
    <col min="5641" max="5642" width="12" style="112" customWidth="1"/>
    <col min="5643" max="5643" width="16.140625" style="112" customWidth="1"/>
    <col min="5644" max="5644" width="7.7109375" style="112" customWidth="1"/>
    <col min="5645" max="5645" width="12" style="112" customWidth="1"/>
    <col min="5646" max="5647" width="9" style="112" customWidth="1"/>
    <col min="5648" max="5648" width="11.28515625" style="112" customWidth="1"/>
    <col min="5649" max="5650" width="12" style="112" customWidth="1"/>
    <col min="5651" max="5651" width="17.140625" style="112" customWidth="1"/>
    <col min="5652" max="5652" width="9" style="112" customWidth="1"/>
    <col min="5653" max="5653" width="12" style="112" customWidth="1"/>
    <col min="5654" max="5655" width="9" style="112" customWidth="1"/>
    <col min="5656" max="5656" width="9.85546875" style="112" customWidth="1"/>
    <col min="5657" max="5657" width="10.140625" style="112" customWidth="1"/>
    <col min="5658" max="5658" width="7.85546875" style="112" customWidth="1"/>
    <col min="5659" max="5659" width="8.5703125" style="112" customWidth="1"/>
    <col min="5660" max="5660" width="7.85546875" style="112" customWidth="1"/>
    <col min="5661" max="5661" width="8.7109375" style="112" customWidth="1"/>
    <col min="5662" max="5894" width="9.140625" style="112"/>
    <col min="5895" max="5895" width="5.42578125" style="112" customWidth="1"/>
    <col min="5896" max="5896" width="45.140625" style="112" customWidth="1"/>
    <col min="5897" max="5898" width="12" style="112" customWidth="1"/>
    <col min="5899" max="5899" width="16.140625" style="112" customWidth="1"/>
    <col min="5900" max="5900" width="7.7109375" style="112" customWidth="1"/>
    <col min="5901" max="5901" width="12" style="112" customWidth="1"/>
    <col min="5902" max="5903" width="9" style="112" customWidth="1"/>
    <col min="5904" max="5904" width="11.28515625" style="112" customWidth="1"/>
    <col min="5905" max="5906" width="12" style="112" customWidth="1"/>
    <col min="5907" max="5907" width="17.140625" style="112" customWidth="1"/>
    <col min="5908" max="5908" width="9" style="112" customWidth="1"/>
    <col min="5909" max="5909" width="12" style="112" customWidth="1"/>
    <col min="5910" max="5911" width="9" style="112" customWidth="1"/>
    <col min="5912" max="5912" width="9.85546875" style="112" customWidth="1"/>
    <col min="5913" max="5913" width="10.140625" style="112" customWidth="1"/>
    <col min="5914" max="5914" width="7.85546875" style="112" customWidth="1"/>
    <col min="5915" max="5915" width="8.5703125" style="112" customWidth="1"/>
    <col min="5916" max="5916" width="7.85546875" style="112" customWidth="1"/>
    <col min="5917" max="5917" width="8.7109375" style="112" customWidth="1"/>
    <col min="5918" max="6150" width="9.140625" style="112"/>
    <col min="6151" max="6151" width="5.42578125" style="112" customWidth="1"/>
    <col min="6152" max="6152" width="45.140625" style="112" customWidth="1"/>
    <col min="6153" max="6154" width="12" style="112" customWidth="1"/>
    <col min="6155" max="6155" width="16.140625" style="112" customWidth="1"/>
    <col min="6156" max="6156" width="7.7109375" style="112" customWidth="1"/>
    <col min="6157" max="6157" width="12" style="112" customWidth="1"/>
    <col min="6158" max="6159" width="9" style="112" customWidth="1"/>
    <col min="6160" max="6160" width="11.28515625" style="112" customWidth="1"/>
    <col min="6161" max="6162" width="12" style="112" customWidth="1"/>
    <col min="6163" max="6163" width="17.140625" style="112" customWidth="1"/>
    <col min="6164" max="6164" width="9" style="112" customWidth="1"/>
    <col min="6165" max="6165" width="12" style="112" customWidth="1"/>
    <col min="6166" max="6167" width="9" style="112" customWidth="1"/>
    <col min="6168" max="6168" width="9.85546875" style="112" customWidth="1"/>
    <col min="6169" max="6169" width="10.140625" style="112" customWidth="1"/>
    <col min="6170" max="6170" width="7.85546875" style="112" customWidth="1"/>
    <col min="6171" max="6171" width="8.5703125" style="112" customWidth="1"/>
    <col min="6172" max="6172" width="7.85546875" style="112" customWidth="1"/>
    <col min="6173" max="6173" width="8.7109375" style="112" customWidth="1"/>
    <col min="6174" max="6406" width="9.140625" style="112"/>
    <col min="6407" max="6407" width="5.42578125" style="112" customWidth="1"/>
    <col min="6408" max="6408" width="45.140625" style="112" customWidth="1"/>
    <col min="6409" max="6410" width="12" style="112" customWidth="1"/>
    <col min="6411" max="6411" width="16.140625" style="112" customWidth="1"/>
    <col min="6412" max="6412" width="7.7109375" style="112" customWidth="1"/>
    <col min="6413" max="6413" width="12" style="112" customWidth="1"/>
    <col min="6414" max="6415" width="9" style="112" customWidth="1"/>
    <col min="6416" max="6416" width="11.28515625" style="112" customWidth="1"/>
    <col min="6417" max="6418" width="12" style="112" customWidth="1"/>
    <col min="6419" max="6419" width="17.140625" style="112" customWidth="1"/>
    <col min="6420" max="6420" width="9" style="112" customWidth="1"/>
    <col min="6421" max="6421" width="12" style="112" customWidth="1"/>
    <col min="6422" max="6423" width="9" style="112" customWidth="1"/>
    <col min="6424" max="6424" width="9.85546875" style="112" customWidth="1"/>
    <col min="6425" max="6425" width="10.140625" style="112" customWidth="1"/>
    <col min="6426" max="6426" width="7.85546875" style="112" customWidth="1"/>
    <col min="6427" max="6427" width="8.5703125" style="112" customWidth="1"/>
    <col min="6428" max="6428" width="7.85546875" style="112" customWidth="1"/>
    <col min="6429" max="6429" width="8.7109375" style="112" customWidth="1"/>
    <col min="6430" max="6662" width="9.140625" style="112"/>
    <col min="6663" max="6663" width="5.42578125" style="112" customWidth="1"/>
    <col min="6664" max="6664" width="45.140625" style="112" customWidth="1"/>
    <col min="6665" max="6666" width="12" style="112" customWidth="1"/>
    <col min="6667" max="6667" width="16.140625" style="112" customWidth="1"/>
    <col min="6668" max="6668" width="7.7109375" style="112" customWidth="1"/>
    <col min="6669" max="6669" width="12" style="112" customWidth="1"/>
    <col min="6670" max="6671" width="9" style="112" customWidth="1"/>
    <col min="6672" max="6672" width="11.28515625" style="112" customWidth="1"/>
    <col min="6673" max="6674" width="12" style="112" customWidth="1"/>
    <col min="6675" max="6675" width="17.140625" style="112" customWidth="1"/>
    <col min="6676" max="6676" width="9" style="112" customWidth="1"/>
    <col min="6677" max="6677" width="12" style="112" customWidth="1"/>
    <col min="6678" max="6679" width="9" style="112" customWidth="1"/>
    <col min="6680" max="6680" width="9.85546875" style="112" customWidth="1"/>
    <col min="6681" max="6681" width="10.140625" style="112" customWidth="1"/>
    <col min="6682" max="6682" width="7.85546875" style="112" customWidth="1"/>
    <col min="6683" max="6683" width="8.5703125" style="112" customWidth="1"/>
    <col min="6684" max="6684" width="7.85546875" style="112" customWidth="1"/>
    <col min="6685" max="6685" width="8.7109375" style="112" customWidth="1"/>
    <col min="6686" max="6918" width="9.140625" style="112"/>
    <col min="6919" max="6919" width="5.42578125" style="112" customWidth="1"/>
    <col min="6920" max="6920" width="45.140625" style="112" customWidth="1"/>
    <col min="6921" max="6922" width="12" style="112" customWidth="1"/>
    <col min="6923" max="6923" width="16.140625" style="112" customWidth="1"/>
    <col min="6924" max="6924" width="7.7109375" style="112" customWidth="1"/>
    <col min="6925" max="6925" width="12" style="112" customWidth="1"/>
    <col min="6926" max="6927" width="9" style="112" customWidth="1"/>
    <col min="6928" max="6928" width="11.28515625" style="112" customWidth="1"/>
    <col min="6929" max="6930" width="12" style="112" customWidth="1"/>
    <col min="6931" max="6931" width="17.140625" style="112" customWidth="1"/>
    <col min="6932" max="6932" width="9" style="112" customWidth="1"/>
    <col min="6933" max="6933" width="12" style="112" customWidth="1"/>
    <col min="6934" max="6935" width="9" style="112" customWidth="1"/>
    <col min="6936" max="6936" width="9.85546875" style="112" customWidth="1"/>
    <col min="6937" max="6937" width="10.140625" style="112" customWidth="1"/>
    <col min="6938" max="6938" width="7.85546875" style="112" customWidth="1"/>
    <col min="6939" max="6939" width="8.5703125" style="112" customWidth="1"/>
    <col min="6940" max="6940" width="7.85546875" style="112" customWidth="1"/>
    <col min="6941" max="6941" width="8.7109375" style="112" customWidth="1"/>
    <col min="6942" max="7174" width="9.140625" style="112"/>
    <col min="7175" max="7175" width="5.42578125" style="112" customWidth="1"/>
    <col min="7176" max="7176" width="45.140625" style="112" customWidth="1"/>
    <col min="7177" max="7178" width="12" style="112" customWidth="1"/>
    <col min="7179" max="7179" width="16.140625" style="112" customWidth="1"/>
    <col min="7180" max="7180" width="7.7109375" style="112" customWidth="1"/>
    <col min="7181" max="7181" width="12" style="112" customWidth="1"/>
    <col min="7182" max="7183" width="9" style="112" customWidth="1"/>
    <col min="7184" max="7184" width="11.28515625" style="112" customWidth="1"/>
    <col min="7185" max="7186" width="12" style="112" customWidth="1"/>
    <col min="7187" max="7187" width="17.140625" style="112" customWidth="1"/>
    <col min="7188" max="7188" width="9" style="112" customWidth="1"/>
    <col min="7189" max="7189" width="12" style="112" customWidth="1"/>
    <col min="7190" max="7191" width="9" style="112" customWidth="1"/>
    <col min="7192" max="7192" width="9.85546875" style="112" customWidth="1"/>
    <col min="7193" max="7193" width="10.140625" style="112" customWidth="1"/>
    <col min="7194" max="7194" width="7.85546875" style="112" customWidth="1"/>
    <col min="7195" max="7195" width="8.5703125" style="112" customWidth="1"/>
    <col min="7196" max="7196" width="7.85546875" style="112" customWidth="1"/>
    <col min="7197" max="7197" width="8.7109375" style="112" customWidth="1"/>
    <col min="7198" max="7430" width="9.140625" style="112"/>
    <col min="7431" max="7431" width="5.42578125" style="112" customWidth="1"/>
    <col min="7432" max="7432" width="45.140625" style="112" customWidth="1"/>
    <col min="7433" max="7434" width="12" style="112" customWidth="1"/>
    <col min="7435" max="7435" width="16.140625" style="112" customWidth="1"/>
    <col min="7436" max="7436" width="7.7109375" style="112" customWidth="1"/>
    <col min="7437" max="7437" width="12" style="112" customWidth="1"/>
    <col min="7438" max="7439" width="9" style="112" customWidth="1"/>
    <col min="7440" max="7440" width="11.28515625" style="112" customWidth="1"/>
    <col min="7441" max="7442" width="12" style="112" customWidth="1"/>
    <col min="7443" max="7443" width="17.140625" style="112" customWidth="1"/>
    <col min="7444" max="7444" width="9" style="112" customWidth="1"/>
    <col min="7445" max="7445" width="12" style="112" customWidth="1"/>
    <col min="7446" max="7447" width="9" style="112" customWidth="1"/>
    <col min="7448" max="7448" width="9.85546875" style="112" customWidth="1"/>
    <col min="7449" max="7449" width="10.140625" style="112" customWidth="1"/>
    <col min="7450" max="7450" width="7.85546875" style="112" customWidth="1"/>
    <col min="7451" max="7451" width="8.5703125" style="112" customWidth="1"/>
    <col min="7452" max="7452" width="7.85546875" style="112" customWidth="1"/>
    <col min="7453" max="7453" width="8.7109375" style="112" customWidth="1"/>
    <col min="7454" max="7686" width="9.140625" style="112"/>
    <col min="7687" max="7687" width="5.42578125" style="112" customWidth="1"/>
    <col min="7688" max="7688" width="45.140625" style="112" customWidth="1"/>
    <col min="7689" max="7690" width="12" style="112" customWidth="1"/>
    <col min="7691" max="7691" width="16.140625" style="112" customWidth="1"/>
    <col min="7692" max="7692" width="7.7109375" style="112" customWidth="1"/>
    <col min="7693" max="7693" width="12" style="112" customWidth="1"/>
    <col min="7694" max="7695" width="9" style="112" customWidth="1"/>
    <col min="7696" max="7696" width="11.28515625" style="112" customWidth="1"/>
    <col min="7697" max="7698" width="12" style="112" customWidth="1"/>
    <col min="7699" max="7699" width="17.140625" style="112" customWidth="1"/>
    <col min="7700" max="7700" width="9" style="112" customWidth="1"/>
    <col min="7701" max="7701" width="12" style="112" customWidth="1"/>
    <col min="7702" max="7703" width="9" style="112" customWidth="1"/>
    <col min="7704" max="7704" width="9.85546875" style="112" customWidth="1"/>
    <col min="7705" max="7705" width="10.140625" style="112" customWidth="1"/>
    <col min="7706" max="7706" width="7.85546875" style="112" customWidth="1"/>
    <col min="7707" max="7707" width="8.5703125" style="112" customWidth="1"/>
    <col min="7708" max="7708" width="7.85546875" style="112" customWidth="1"/>
    <col min="7709" max="7709" width="8.7109375" style="112" customWidth="1"/>
    <col min="7710" max="7942" width="9.140625" style="112"/>
    <col min="7943" max="7943" width="5.42578125" style="112" customWidth="1"/>
    <col min="7944" max="7944" width="45.140625" style="112" customWidth="1"/>
    <col min="7945" max="7946" width="12" style="112" customWidth="1"/>
    <col min="7947" max="7947" width="16.140625" style="112" customWidth="1"/>
    <col min="7948" max="7948" width="7.7109375" style="112" customWidth="1"/>
    <col min="7949" max="7949" width="12" style="112" customWidth="1"/>
    <col min="7950" max="7951" width="9" style="112" customWidth="1"/>
    <col min="7952" max="7952" width="11.28515625" style="112" customWidth="1"/>
    <col min="7953" max="7954" width="12" style="112" customWidth="1"/>
    <col min="7955" max="7955" width="17.140625" style="112" customWidth="1"/>
    <col min="7956" max="7956" width="9" style="112" customWidth="1"/>
    <col min="7957" max="7957" width="12" style="112" customWidth="1"/>
    <col min="7958" max="7959" width="9" style="112" customWidth="1"/>
    <col min="7960" max="7960" width="9.85546875" style="112" customWidth="1"/>
    <col min="7961" max="7961" width="10.140625" style="112" customWidth="1"/>
    <col min="7962" max="7962" width="7.85546875" style="112" customWidth="1"/>
    <col min="7963" max="7963" width="8.5703125" style="112" customWidth="1"/>
    <col min="7964" max="7964" width="7.85546875" style="112" customWidth="1"/>
    <col min="7965" max="7965" width="8.7109375" style="112" customWidth="1"/>
    <col min="7966" max="8198" width="9.140625" style="112"/>
    <col min="8199" max="8199" width="5.42578125" style="112" customWidth="1"/>
    <col min="8200" max="8200" width="45.140625" style="112" customWidth="1"/>
    <col min="8201" max="8202" width="12" style="112" customWidth="1"/>
    <col min="8203" max="8203" width="16.140625" style="112" customWidth="1"/>
    <col min="8204" max="8204" width="7.7109375" style="112" customWidth="1"/>
    <col min="8205" max="8205" width="12" style="112" customWidth="1"/>
    <col min="8206" max="8207" width="9" style="112" customWidth="1"/>
    <col min="8208" max="8208" width="11.28515625" style="112" customWidth="1"/>
    <col min="8209" max="8210" width="12" style="112" customWidth="1"/>
    <col min="8211" max="8211" width="17.140625" style="112" customWidth="1"/>
    <col min="8212" max="8212" width="9" style="112" customWidth="1"/>
    <col min="8213" max="8213" width="12" style="112" customWidth="1"/>
    <col min="8214" max="8215" width="9" style="112" customWidth="1"/>
    <col min="8216" max="8216" width="9.85546875" style="112" customWidth="1"/>
    <col min="8217" max="8217" width="10.140625" style="112" customWidth="1"/>
    <col min="8218" max="8218" width="7.85546875" style="112" customWidth="1"/>
    <col min="8219" max="8219" width="8.5703125" style="112" customWidth="1"/>
    <col min="8220" max="8220" width="7.85546875" style="112" customWidth="1"/>
    <col min="8221" max="8221" width="8.7109375" style="112" customWidth="1"/>
    <col min="8222" max="8454" width="9.140625" style="112"/>
    <col min="8455" max="8455" width="5.42578125" style="112" customWidth="1"/>
    <col min="8456" max="8456" width="45.140625" style="112" customWidth="1"/>
    <col min="8457" max="8458" width="12" style="112" customWidth="1"/>
    <col min="8459" max="8459" width="16.140625" style="112" customWidth="1"/>
    <col min="8460" max="8460" width="7.7109375" style="112" customWidth="1"/>
    <col min="8461" max="8461" width="12" style="112" customWidth="1"/>
    <col min="8462" max="8463" width="9" style="112" customWidth="1"/>
    <col min="8464" max="8464" width="11.28515625" style="112" customWidth="1"/>
    <col min="8465" max="8466" width="12" style="112" customWidth="1"/>
    <col min="8467" max="8467" width="17.140625" style="112" customWidth="1"/>
    <col min="8468" max="8468" width="9" style="112" customWidth="1"/>
    <col min="8469" max="8469" width="12" style="112" customWidth="1"/>
    <col min="8470" max="8471" width="9" style="112" customWidth="1"/>
    <col min="8472" max="8472" width="9.85546875" style="112" customWidth="1"/>
    <col min="8473" max="8473" width="10.140625" style="112" customWidth="1"/>
    <col min="8474" max="8474" width="7.85546875" style="112" customWidth="1"/>
    <col min="8475" max="8475" width="8.5703125" style="112" customWidth="1"/>
    <col min="8476" max="8476" width="7.85546875" style="112" customWidth="1"/>
    <col min="8477" max="8477" width="8.7109375" style="112" customWidth="1"/>
    <col min="8478" max="8710" width="9.140625" style="112"/>
    <col min="8711" max="8711" width="5.42578125" style="112" customWidth="1"/>
    <col min="8712" max="8712" width="45.140625" style="112" customWidth="1"/>
    <col min="8713" max="8714" width="12" style="112" customWidth="1"/>
    <col min="8715" max="8715" width="16.140625" style="112" customWidth="1"/>
    <col min="8716" max="8716" width="7.7109375" style="112" customWidth="1"/>
    <col min="8717" max="8717" width="12" style="112" customWidth="1"/>
    <col min="8718" max="8719" width="9" style="112" customWidth="1"/>
    <col min="8720" max="8720" width="11.28515625" style="112" customWidth="1"/>
    <col min="8721" max="8722" width="12" style="112" customWidth="1"/>
    <col min="8723" max="8723" width="17.140625" style="112" customWidth="1"/>
    <col min="8724" max="8724" width="9" style="112" customWidth="1"/>
    <col min="8725" max="8725" width="12" style="112" customWidth="1"/>
    <col min="8726" max="8727" width="9" style="112" customWidth="1"/>
    <col min="8728" max="8728" width="9.85546875" style="112" customWidth="1"/>
    <col min="8729" max="8729" width="10.140625" style="112" customWidth="1"/>
    <col min="8730" max="8730" width="7.85546875" style="112" customWidth="1"/>
    <col min="8731" max="8731" width="8.5703125" style="112" customWidth="1"/>
    <col min="8732" max="8732" width="7.85546875" style="112" customWidth="1"/>
    <col min="8733" max="8733" width="8.7109375" style="112" customWidth="1"/>
    <col min="8734" max="8966" width="9.140625" style="112"/>
    <col min="8967" max="8967" width="5.42578125" style="112" customWidth="1"/>
    <col min="8968" max="8968" width="45.140625" style="112" customWidth="1"/>
    <col min="8969" max="8970" width="12" style="112" customWidth="1"/>
    <col min="8971" max="8971" width="16.140625" style="112" customWidth="1"/>
    <col min="8972" max="8972" width="7.7109375" style="112" customWidth="1"/>
    <col min="8973" max="8973" width="12" style="112" customWidth="1"/>
    <col min="8974" max="8975" width="9" style="112" customWidth="1"/>
    <col min="8976" max="8976" width="11.28515625" style="112" customWidth="1"/>
    <col min="8977" max="8978" width="12" style="112" customWidth="1"/>
    <col min="8979" max="8979" width="17.140625" style="112" customWidth="1"/>
    <col min="8980" max="8980" width="9" style="112" customWidth="1"/>
    <col min="8981" max="8981" width="12" style="112" customWidth="1"/>
    <col min="8982" max="8983" width="9" style="112" customWidth="1"/>
    <col min="8984" max="8984" width="9.85546875" style="112" customWidth="1"/>
    <col min="8985" max="8985" width="10.140625" style="112" customWidth="1"/>
    <col min="8986" max="8986" width="7.85546875" style="112" customWidth="1"/>
    <col min="8987" max="8987" width="8.5703125" style="112" customWidth="1"/>
    <col min="8988" max="8988" width="7.85546875" style="112" customWidth="1"/>
    <col min="8989" max="8989" width="8.7109375" style="112" customWidth="1"/>
    <col min="8990" max="9222" width="9.140625" style="112"/>
    <col min="9223" max="9223" width="5.42578125" style="112" customWidth="1"/>
    <col min="9224" max="9224" width="45.140625" style="112" customWidth="1"/>
    <col min="9225" max="9226" width="12" style="112" customWidth="1"/>
    <col min="9227" max="9227" width="16.140625" style="112" customWidth="1"/>
    <col min="9228" max="9228" width="7.7109375" style="112" customWidth="1"/>
    <col min="9229" max="9229" width="12" style="112" customWidth="1"/>
    <col min="9230" max="9231" width="9" style="112" customWidth="1"/>
    <col min="9232" max="9232" width="11.28515625" style="112" customWidth="1"/>
    <col min="9233" max="9234" width="12" style="112" customWidth="1"/>
    <col min="9235" max="9235" width="17.140625" style="112" customWidth="1"/>
    <col min="9236" max="9236" width="9" style="112" customWidth="1"/>
    <col min="9237" max="9237" width="12" style="112" customWidth="1"/>
    <col min="9238" max="9239" width="9" style="112" customWidth="1"/>
    <col min="9240" max="9240" width="9.85546875" style="112" customWidth="1"/>
    <col min="9241" max="9241" width="10.140625" style="112" customWidth="1"/>
    <col min="9242" max="9242" width="7.85546875" style="112" customWidth="1"/>
    <col min="9243" max="9243" width="8.5703125" style="112" customWidth="1"/>
    <col min="9244" max="9244" width="7.85546875" style="112" customWidth="1"/>
    <col min="9245" max="9245" width="8.7109375" style="112" customWidth="1"/>
    <col min="9246" max="9478" width="9.140625" style="112"/>
    <col min="9479" max="9479" width="5.42578125" style="112" customWidth="1"/>
    <col min="9480" max="9480" width="45.140625" style="112" customWidth="1"/>
    <col min="9481" max="9482" width="12" style="112" customWidth="1"/>
    <col min="9483" max="9483" width="16.140625" style="112" customWidth="1"/>
    <col min="9484" max="9484" width="7.7109375" style="112" customWidth="1"/>
    <col min="9485" max="9485" width="12" style="112" customWidth="1"/>
    <col min="9486" max="9487" width="9" style="112" customWidth="1"/>
    <col min="9488" max="9488" width="11.28515625" style="112" customWidth="1"/>
    <col min="9489" max="9490" width="12" style="112" customWidth="1"/>
    <col min="9491" max="9491" width="17.140625" style="112" customWidth="1"/>
    <col min="9492" max="9492" width="9" style="112" customWidth="1"/>
    <col min="9493" max="9493" width="12" style="112" customWidth="1"/>
    <col min="9494" max="9495" width="9" style="112" customWidth="1"/>
    <col min="9496" max="9496" width="9.85546875" style="112" customWidth="1"/>
    <col min="9497" max="9497" width="10.140625" style="112" customWidth="1"/>
    <col min="9498" max="9498" width="7.85546875" style="112" customWidth="1"/>
    <col min="9499" max="9499" width="8.5703125" style="112" customWidth="1"/>
    <col min="9500" max="9500" width="7.85546875" style="112" customWidth="1"/>
    <col min="9501" max="9501" width="8.7109375" style="112" customWidth="1"/>
    <col min="9502" max="9734" width="9.140625" style="112"/>
    <col min="9735" max="9735" width="5.42578125" style="112" customWidth="1"/>
    <col min="9736" max="9736" width="45.140625" style="112" customWidth="1"/>
    <col min="9737" max="9738" width="12" style="112" customWidth="1"/>
    <col min="9739" max="9739" width="16.140625" style="112" customWidth="1"/>
    <col min="9740" max="9740" width="7.7109375" style="112" customWidth="1"/>
    <col min="9741" max="9741" width="12" style="112" customWidth="1"/>
    <col min="9742" max="9743" width="9" style="112" customWidth="1"/>
    <col min="9744" max="9744" width="11.28515625" style="112" customWidth="1"/>
    <col min="9745" max="9746" width="12" style="112" customWidth="1"/>
    <col min="9747" max="9747" width="17.140625" style="112" customWidth="1"/>
    <col min="9748" max="9748" width="9" style="112" customWidth="1"/>
    <col min="9749" max="9749" width="12" style="112" customWidth="1"/>
    <col min="9750" max="9751" width="9" style="112" customWidth="1"/>
    <col min="9752" max="9752" width="9.85546875" style="112" customWidth="1"/>
    <col min="9753" max="9753" width="10.140625" style="112" customWidth="1"/>
    <col min="9754" max="9754" width="7.85546875" style="112" customWidth="1"/>
    <col min="9755" max="9755" width="8.5703125" style="112" customWidth="1"/>
    <col min="9756" max="9756" width="7.85546875" style="112" customWidth="1"/>
    <col min="9757" max="9757" width="8.7109375" style="112" customWidth="1"/>
    <col min="9758" max="9990" width="9.140625" style="112"/>
    <col min="9991" max="9991" width="5.42578125" style="112" customWidth="1"/>
    <col min="9992" max="9992" width="45.140625" style="112" customWidth="1"/>
    <col min="9993" max="9994" width="12" style="112" customWidth="1"/>
    <col min="9995" max="9995" width="16.140625" style="112" customWidth="1"/>
    <col min="9996" max="9996" width="7.7109375" style="112" customWidth="1"/>
    <col min="9997" max="9997" width="12" style="112" customWidth="1"/>
    <col min="9998" max="9999" width="9" style="112" customWidth="1"/>
    <col min="10000" max="10000" width="11.28515625" style="112" customWidth="1"/>
    <col min="10001" max="10002" width="12" style="112" customWidth="1"/>
    <col min="10003" max="10003" width="17.140625" style="112" customWidth="1"/>
    <col min="10004" max="10004" width="9" style="112" customWidth="1"/>
    <col min="10005" max="10005" width="12" style="112" customWidth="1"/>
    <col min="10006" max="10007" width="9" style="112" customWidth="1"/>
    <col min="10008" max="10008" width="9.85546875" style="112" customWidth="1"/>
    <col min="10009" max="10009" width="10.140625" style="112" customWidth="1"/>
    <col min="10010" max="10010" width="7.85546875" style="112" customWidth="1"/>
    <col min="10011" max="10011" width="8.5703125" style="112" customWidth="1"/>
    <col min="10012" max="10012" width="7.85546875" style="112" customWidth="1"/>
    <col min="10013" max="10013" width="8.7109375" style="112" customWidth="1"/>
    <col min="10014" max="10246" width="9.140625" style="112"/>
    <col min="10247" max="10247" width="5.42578125" style="112" customWidth="1"/>
    <col min="10248" max="10248" width="45.140625" style="112" customWidth="1"/>
    <col min="10249" max="10250" width="12" style="112" customWidth="1"/>
    <col min="10251" max="10251" width="16.140625" style="112" customWidth="1"/>
    <col min="10252" max="10252" width="7.7109375" style="112" customWidth="1"/>
    <col min="10253" max="10253" width="12" style="112" customWidth="1"/>
    <col min="10254" max="10255" width="9" style="112" customWidth="1"/>
    <col min="10256" max="10256" width="11.28515625" style="112" customWidth="1"/>
    <col min="10257" max="10258" width="12" style="112" customWidth="1"/>
    <col min="10259" max="10259" width="17.140625" style="112" customWidth="1"/>
    <col min="10260" max="10260" width="9" style="112" customWidth="1"/>
    <col min="10261" max="10261" width="12" style="112" customWidth="1"/>
    <col min="10262" max="10263" width="9" style="112" customWidth="1"/>
    <col min="10264" max="10264" width="9.85546875" style="112" customWidth="1"/>
    <col min="10265" max="10265" width="10.140625" style="112" customWidth="1"/>
    <col min="10266" max="10266" width="7.85546875" style="112" customWidth="1"/>
    <col min="10267" max="10267" width="8.5703125" style="112" customWidth="1"/>
    <col min="10268" max="10268" width="7.85546875" style="112" customWidth="1"/>
    <col min="10269" max="10269" width="8.7109375" style="112" customWidth="1"/>
    <col min="10270" max="10502" width="9.140625" style="112"/>
    <col min="10503" max="10503" width="5.42578125" style="112" customWidth="1"/>
    <col min="10504" max="10504" width="45.140625" style="112" customWidth="1"/>
    <col min="10505" max="10506" width="12" style="112" customWidth="1"/>
    <col min="10507" max="10507" width="16.140625" style="112" customWidth="1"/>
    <col min="10508" max="10508" width="7.7109375" style="112" customWidth="1"/>
    <col min="10509" max="10509" width="12" style="112" customWidth="1"/>
    <col min="10510" max="10511" width="9" style="112" customWidth="1"/>
    <col min="10512" max="10512" width="11.28515625" style="112" customWidth="1"/>
    <col min="10513" max="10514" width="12" style="112" customWidth="1"/>
    <col min="10515" max="10515" width="17.140625" style="112" customWidth="1"/>
    <col min="10516" max="10516" width="9" style="112" customWidth="1"/>
    <col min="10517" max="10517" width="12" style="112" customWidth="1"/>
    <col min="10518" max="10519" width="9" style="112" customWidth="1"/>
    <col min="10520" max="10520" width="9.85546875" style="112" customWidth="1"/>
    <col min="10521" max="10521" width="10.140625" style="112" customWidth="1"/>
    <col min="10522" max="10522" width="7.85546875" style="112" customWidth="1"/>
    <col min="10523" max="10523" width="8.5703125" style="112" customWidth="1"/>
    <col min="10524" max="10524" width="7.85546875" style="112" customWidth="1"/>
    <col min="10525" max="10525" width="8.7109375" style="112" customWidth="1"/>
    <col min="10526" max="10758" width="9.140625" style="112"/>
    <col min="10759" max="10759" width="5.42578125" style="112" customWidth="1"/>
    <col min="10760" max="10760" width="45.140625" style="112" customWidth="1"/>
    <col min="10761" max="10762" width="12" style="112" customWidth="1"/>
    <col min="10763" max="10763" width="16.140625" style="112" customWidth="1"/>
    <col min="10764" max="10764" width="7.7109375" style="112" customWidth="1"/>
    <col min="10765" max="10765" width="12" style="112" customWidth="1"/>
    <col min="10766" max="10767" width="9" style="112" customWidth="1"/>
    <col min="10768" max="10768" width="11.28515625" style="112" customWidth="1"/>
    <col min="10769" max="10770" width="12" style="112" customWidth="1"/>
    <col min="10771" max="10771" width="17.140625" style="112" customWidth="1"/>
    <col min="10772" max="10772" width="9" style="112" customWidth="1"/>
    <col min="10773" max="10773" width="12" style="112" customWidth="1"/>
    <col min="10774" max="10775" width="9" style="112" customWidth="1"/>
    <col min="10776" max="10776" width="9.85546875" style="112" customWidth="1"/>
    <col min="10777" max="10777" width="10.140625" style="112" customWidth="1"/>
    <col min="10778" max="10778" width="7.85546875" style="112" customWidth="1"/>
    <col min="10779" max="10779" width="8.5703125" style="112" customWidth="1"/>
    <col min="10780" max="10780" width="7.85546875" style="112" customWidth="1"/>
    <col min="10781" max="10781" width="8.7109375" style="112" customWidth="1"/>
    <col min="10782" max="11014" width="9.140625" style="112"/>
    <col min="11015" max="11015" width="5.42578125" style="112" customWidth="1"/>
    <col min="11016" max="11016" width="45.140625" style="112" customWidth="1"/>
    <col min="11017" max="11018" width="12" style="112" customWidth="1"/>
    <col min="11019" max="11019" width="16.140625" style="112" customWidth="1"/>
    <col min="11020" max="11020" width="7.7109375" style="112" customWidth="1"/>
    <col min="11021" max="11021" width="12" style="112" customWidth="1"/>
    <col min="11022" max="11023" width="9" style="112" customWidth="1"/>
    <col min="11024" max="11024" width="11.28515625" style="112" customWidth="1"/>
    <col min="11025" max="11026" width="12" style="112" customWidth="1"/>
    <col min="11027" max="11027" width="17.140625" style="112" customWidth="1"/>
    <col min="11028" max="11028" width="9" style="112" customWidth="1"/>
    <col min="11029" max="11029" width="12" style="112" customWidth="1"/>
    <col min="11030" max="11031" width="9" style="112" customWidth="1"/>
    <col min="11032" max="11032" width="9.85546875" style="112" customWidth="1"/>
    <col min="11033" max="11033" width="10.140625" style="112" customWidth="1"/>
    <col min="11034" max="11034" width="7.85546875" style="112" customWidth="1"/>
    <col min="11035" max="11035" width="8.5703125" style="112" customWidth="1"/>
    <col min="11036" max="11036" width="7.85546875" style="112" customWidth="1"/>
    <col min="11037" max="11037" width="8.7109375" style="112" customWidth="1"/>
    <col min="11038" max="11270" width="9.140625" style="112"/>
    <col min="11271" max="11271" width="5.42578125" style="112" customWidth="1"/>
    <col min="11272" max="11272" width="45.140625" style="112" customWidth="1"/>
    <col min="11273" max="11274" width="12" style="112" customWidth="1"/>
    <col min="11275" max="11275" width="16.140625" style="112" customWidth="1"/>
    <col min="11276" max="11276" width="7.7109375" style="112" customWidth="1"/>
    <col min="11277" max="11277" width="12" style="112" customWidth="1"/>
    <col min="11278" max="11279" width="9" style="112" customWidth="1"/>
    <col min="11280" max="11280" width="11.28515625" style="112" customWidth="1"/>
    <col min="11281" max="11282" width="12" style="112" customWidth="1"/>
    <col min="11283" max="11283" width="17.140625" style="112" customWidth="1"/>
    <col min="11284" max="11284" width="9" style="112" customWidth="1"/>
    <col min="11285" max="11285" width="12" style="112" customWidth="1"/>
    <col min="11286" max="11287" width="9" style="112" customWidth="1"/>
    <col min="11288" max="11288" width="9.85546875" style="112" customWidth="1"/>
    <col min="11289" max="11289" width="10.140625" style="112" customWidth="1"/>
    <col min="11290" max="11290" width="7.85546875" style="112" customWidth="1"/>
    <col min="11291" max="11291" width="8.5703125" style="112" customWidth="1"/>
    <col min="11292" max="11292" width="7.85546875" style="112" customWidth="1"/>
    <col min="11293" max="11293" width="8.7109375" style="112" customWidth="1"/>
    <col min="11294" max="11526" width="9.140625" style="112"/>
    <col min="11527" max="11527" width="5.42578125" style="112" customWidth="1"/>
    <col min="11528" max="11528" width="45.140625" style="112" customWidth="1"/>
    <col min="11529" max="11530" width="12" style="112" customWidth="1"/>
    <col min="11531" max="11531" width="16.140625" style="112" customWidth="1"/>
    <col min="11532" max="11532" width="7.7109375" style="112" customWidth="1"/>
    <col min="11533" max="11533" width="12" style="112" customWidth="1"/>
    <col min="11534" max="11535" width="9" style="112" customWidth="1"/>
    <col min="11536" max="11536" width="11.28515625" style="112" customWidth="1"/>
    <col min="11537" max="11538" width="12" style="112" customWidth="1"/>
    <col min="11539" max="11539" width="17.140625" style="112" customWidth="1"/>
    <col min="11540" max="11540" width="9" style="112" customWidth="1"/>
    <col min="11541" max="11541" width="12" style="112" customWidth="1"/>
    <col min="11542" max="11543" width="9" style="112" customWidth="1"/>
    <col min="11544" max="11544" width="9.85546875" style="112" customWidth="1"/>
    <col min="11545" max="11545" width="10.140625" style="112" customWidth="1"/>
    <col min="11546" max="11546" width="7.85546875" style="112" customWidth="1"/>
    <col min="11547" max="11547" width="8.5703125" style="112" customWidth="1"/>
    <col min="11548" max="11548" width="7.85546875" style="112" customWidth="1"/>
    <col min="11549" max="11549" width="8.7109375" style="112" customWidth="1"/>
    <col min="11550" max="11782" width="9.140625" style="112"/>
    <col min="11783" max="11783" width="5.42578125" style="112" customWidth="1"/>
    <col min="11784" max="11784" width="45.140625" style="112" customWidth="1"/>
    <col min="11785" max="11786" width="12" style="112" customWidth="1"/>
    <col min="11787" max="11787" width="16.140625" style="112" customWidth="1"/>
    <col min="11788" max="11788" width="7.7109375" style="112" customWidth="1"/>
    <col min="11789" max="11789" width="12" style="112" customWidth="1"/>
    <col min="11790" max="11791" width="9" style="112" customWidth="1"/>
    <col min="11792" max="11792" width="11.28515625" style="112" customWidth="1"/>
    <col min="11793" max="11794" width="12" style="112" customWidth="1"/>
    <col min="11795" max="11795" width="17.140625" style="112" customWidth="1"/>
    <col min="11796" max="11796" width="9" style="112" customWidth="1"/>
    <col min="11797" max="11797" width="12" style="112" customWidth="1"/>
    <col min="11798" max="11799" width="9" style="112" customWidth="1"/>
    <col min="11800" max="11800" width="9.85546875" style="112" customWidth="1"/>
    <col min="11801" max="11801" width="10.140625" style="112" customWidth="1"/>
    <col min="11802" max="11802" width="7.85546875" style="112" customWidth="1"/>
    <col min="11803" max="11803" width="8.5703125" style="112" customWidth="1"/>
    <col min="11804" max="11804" width="7.85546875" style="112" customWidth="1"/>
    <col min="11805" max="11805" width="8.7109375" style="112" customWidth="1"/>
    <col min="11806" max="12038" width="9.140625" style="112"/>
    <col min="12039" max="12039" width="5.42578125" style="112" customWidth="1"/>
    <col min="12040" max="12040" width="45.140625" style="112" customWidth="1"/>
    <col min="12041" max="12042" width="12" style="112" customWidth="1"/>
    <col min="12043" max="12043" width="16.140625" style="112" customWidth="1"/>
    <col min="12044" max="12044" width="7.7109375" style="112" customWidth="1"/>
    <col min="12045" max="12045" width="12" style="112" customWidth="1"/>
    <col min="12046" max="12047" width="9" style="112" customWidth="1"/>
    <col min="12048" max="12048" width="11.28515625" style="112" customWidth="1"/>
    <col min="12049" max="12050" width="12" style="112" customWidth="1"/>
    <col min="12051" max="12051" width="17.140625" style="112" customWidth="1"/>
    <col min="12052" max="12052" width="9" style="112" customWidth="1"/>
    <col min="12053" max="12053" width="12" style="112" customWidth="1"/>
    <col min="12054" max="12055" width="9" style="112" customWidth="1"/>
    <col min="12056" max="12056" width="9.85546875" style="112" customWidth="1"/>
    <col min="12057" max="12057" width="10.140625" style="112" customWidth="1"/>
    <col min="12058" max="12058" width="7.85546875" style="112" customWidth="1"/>
    <col min="12059" max="12059" width="8.5703125" style="112" customWidth="1"/>
    <col min="12060" max="12060" width="7.85546875" style="112" customWidth="1"/>
    <col min="12061" max="12061" width="8.7109375" style="112" customWidth="1"/>
    <col min="12062" max="12294" width="9.140625" style="112"/>
    <col min="12295" max="12295" width="5.42578125" style="112" customWidth="1"/>
    <col min="12296" max="12296" width="45.140625" style="112" customWidth="1"/>
    <col min="12297" max="12298" width="12" style="112" customWidth="1"/>
    <col min="12299" max="12299" width="16.140625" style="112" customWidth="1"/>
    <col min="12300" max="12300" width="7.7109375" style="112" customWidth="1"/>
    <col min="12301" max="12301" width="12" style="112" customWidth="1"/>
    <col min="12302" max="12303" width="9" style="112" customWidth="1"/>
    <col min="12304" max="12304" width="11.28515625" style="112" customWidth="1"/>
    <col min="12305" max="12306" width="12" style="112" customWidth="1"/>
    <col min="12307" max="12307" width="17.140625" style="112" customWidth="1"/>
    <col min="12308" max="12308" width="9" style="112" customWidth="1"/>
    <col min="12309" max="12309" width="12" style="112" customWidth="1"/>
    <col min="12310" max="12311" width="9" style="112" customWidth="1"/>
    <col min="12312" max="12312" width="9.85546875" style="112" customWidth="1"/>
    <col min="12313" max="12313" width="10.140625" style="112" customWidth="1"/>
    <col min="12314" max="12314" width="7.85546875" style="112" customWidth="1"/>
    <col min="12315" max="12315" width="8.5703125" style="112" customWidth="1"/>
    <col min="12316" max="12316" width="7.85546875" style="112" customWidth="1"/>
    <col min="12317" max="12317" width="8.7109375" style="112" customWidth="1"/>
    <col min="12318" max="12550" width="9.140625" style="112"/>
    <col min="12551" max="12551" width="5.42578125" style="112" customWidth="1"/>
    <col min="12552" max="12552" width="45.140625" style="112" customWidth="1"/>
    <col min="12553" max="12554" width="12" style="112" customWidth="1"/>
    <col min="12555" max="12555" width="16.140625" style="112" customWidth="1"/>
    <col min="12556" max="12556" width="7.7109375" style="112" customWidth="1"/>
    <col min="12557" max="12557" width="12" style="112" customWidth="1"/>
    <col min="12558" max="12559" width="9" style="112" customWidth="1"/>
    <col min="12560" max="12560" width="11.28515625" style="112" customWidth="1"/>
    <col min="12561" max="12562" width="12" style="112" customWidth="1"/>
    <col min="12563" max="12563" width="17.140625" style="112" customWidth="1"/>
    <col min="12564" max="12564" width="9" style="112" customWidth="1"/>
    <col min="12565" max="12565" width="12" style="112" customWidth="1"/>
    <col min="12566" max="12567" width="9" style="112" customWidth="1"/>
    <col min="12568" max="12568" width="9.85546875" style="112" customWidth="1"/>
    <col min="12569" max="12569" width="10.140625" style="112" customWidth="1"/>
    <col min="12570" max="12570" width="7.85546875" style="112" customWidth="1"/>
    <col min="12571" max="12571" width="8.5703125" style="112" customWidth="1"/>
    <col min="12572" max="12572" width="7.85546875" style="112" customWidth="1"/>
    <col min="12573" max="12573" width="8.7109375" style="112" customWidth="1"/>
    <col min="12574" max="12806" width="9.140625" style="112"/>
    <col min="12807" max="12807" width="5.42578125" style="112" customWidth="1"/>
    <col min="12808" max="12808" width="45.140625" style="112" customWidth="1"/>
    <col min="12809" max="12810" width="12" style="112" customWidth="1"/>
    <col min="12811" max="12811" width="16.140625" style="112" customWidth="1"/>
    <col min="12812" max="12812" width="7.7109375" style="112" customWidth="1"/>
    <col min="12813" max="12813" width="12" style="112" customWidth="1"/>
    <col min="12814" max="12815" width="9" style="112" customWidth="1"/>
    <col min="12816" max="12816" width="11.28515625" style="112" customWidth="1"/>
    <col min="12817" max="12818" width="12" style="112" customWidth="1"/>
    <col min="12819" max="12819" width="17.140625" style="112" customWidth="1"/>
    <col min="12820" max="12820" width="9" style="112" customWidth="1"/>
    <col min="12821" max="12821" width="12" style="112" customWidth="1"/>
    <col min="12822" max="12823" width="9" style="112" customWidth="1"/>
    <col min="12824" max="12824" width="9.85546875" style="112" customWidth="1"/>
    <col min="12825" max="12825" width="10.140625" style="112" customWidth="1"/>
    <col min="12826" max="12826" width="7.85546875" style="112" customWidth="1"/>
    <col min="12827" max="12827" width="8.5703125" style="112" customWidth="1"/>
    <col min="12828" max="12828" width="7.85546875" style="112" customWidth="1"/>
    <col min="12829" max="12829" width="8.7109375" style="112" customWidth="1"/>
    <col min="12830" max="13062" width="9.140625" style="112"/>
    <col min="13063" max="13063" width="5.42578125" style="112" customWidth="1"/>
    <col min="13064" max="13064" width="45.140625" style="112" customWidth="1"/>
    <col min="13065" max="13066" width="12" style="112" customWidth="1"/>
    <col min="13067" max="13067" width="16.140625" style="112" customWidth="1"/>
    <col min="13068" max="13068" width="7.7109375" style="112" customWidth="1"/>
    <col min="13069" max="13069" width="12" style="112" customWidth="1"/>
    <col min="13070" max="13071" width="9" style="112" customWidth="1"/>
    <col min="13072" max="13072" width="11.28515625" style="112" customWidth="1"/>
    <col min="13073" max="13074" width="12" style="112" customWidth="1"/>
    <col min="13075" max="13075" width="17.140625" style="112" customWidth="1"/>
    <col min="13076" max="13076" width="9" style="112" customWidth="1"/>
    <col min="13077" max="13077" width="12" style="112" customWidth="1"/>
    <col min="13078" max="13079" width="9" style="112" customWidth="1"/>
    <col min="13080" max="13080" width="9.85546875" style="112" customWidth="1"/>
    <col min="13081" max="13081" width="10.140625" style="112" customWidth="1"/>
    <col min="13082" max="13082" width="7.85546875" style="112" customWidth="1"/>
    <col min="13083" max="13083" width="8.5703125" style="112" customWidth="1"/>
    <col min="13084" max="13084" width="7.85546875" style="112" customWidth="1"/>
    <col min="13085" max="13085" width="8.7109375" style="112" customWidth="1"/>
    <col min="13086" max="13318" width="9.140625" style="112"/>
    <col min="13319" max="13319" width="5.42578125" style="112" customWidth="1"/>
    <col min="13320" max="13320" width="45.140625" style="112" customWidth="1"/>
    <col min="13321" max="13322" width="12" style="112" customWidth="1"/>
    <col min="13323" max="13323" width="16.140625" style="112" customWidth="1"/>
    <col min="13324" max="13324" width="7.7109375" style="112" customWidth="1"/>
    <col min="13325" max="13325" width="12" style="112" customWidth="1"/>
    <col min="13326" max="13327" width="9" style="112" customWidth="1"/>
    <col min="13328" max="13328" width="11.28515625" style="112" customWidth="1"/>
    <col min="13329" max="13330" width="12" style="112" customWidth="1"/>
    <col min="13331" max="13331" width="17.140625" style="112" customWidth="1"/>
    <col min="13332" max="13332" width="9" style="112" customWidth="1"/>
    <col min="13333" max="13333" width="12" style="112" customWidth="1"/>
    <col min="13334" max="13335" width="9" style="112" customWidth="1"/>
    <col min="13336" max="13336" width="9.85546875" style="112" customWidth="1"/>
    <col min="13337" max="13337" width="10.140625" style="112" customWidth="1"/>
    <col min="13338" max="13338" width="7.85546875" style="112" customWidth="1"/>
    <col min="13339" max="13339" width="8.5703125" style="112" customWidth="1"/>
    <col min="13340" max="13340" width="7.85546875" style="112" customWidth="1"/>
    <col min="13341" max="13341" width="8.7109375" style="112" customWidth="1"/>
    <col min="13342" max="13574" width="9.140625" style="112"/>
    <col min="13575" max="13575" width="5.42578125" style="112" customWidth="1"/>
    <col min="13576" max="13576" width="45.140625" style="112" customWidth="1"/>
    <col min="13577" max="13578" width="12" style="112" customWidth="1"/>
    <col min="13579" max="13579" width="16.140625" style="112" customWidth="1"/>
    <col min="13580" max="13580" width="7.7109375" style="112" customWidth="1"/>
    <col min="13581" max="13581" width="12" style="112" customWidth="1"/>
    <col min="13582" max="13583" width="9" style="112" customWidth="1"/>
    <col min="13584" max="13584" width="11.28515625" style="112" customWidth="1"/>
    <col min="13585" max="13586" width="12" style="112" customWidth="1"/>
    <col min="13587" max="13587" width="17.140625" style="112" customWidth="1"/>
    <col min="13588" max="13588" width="9" style="112" customWidth="1"/>
    <col min="13589" max="13589" width="12" style="112" customWidth="1"/>
    <col min="13590" max="13591" width="9" style="112" customWidth="1"/>
    <col min="13592" max="13592" width="9.85546875" style="112" customWidth="1"/>
    <col min="13593" max="13593" width="10.140625" style="112" customWidth="1"/>
    <col min="13594" max="13594" width="7.85546875" style="112" customWidth="1"/>
    <col min="13595" max="13595" width="8.5703125" style="112" customWidth="1"/>
    <col min="13596" max="13596" width="7.85546875" style="112" customWidth="1"/>
    <col min="13597" max="13597" width="8.7109375" style="112" customWidth="1"/>
    <col min="13598" max="13830" width="9.140625" style="112"/>
    <col min="13831" max="13831" width="5.42578125" style="112" customWidth="1"/>
    <col min="13832" max="13832" width="45.140625" style="112" customWidth="1"/>
    <col min="13833" max="13834" width="12" style="112" customWidth="1"/>
    <col min="13835" max="13835" width="16.140625" style="112" customWidth="1"/>
    <col min="13836" max="13836" width="7.7109375" style="112" customWidth="1"/>
    <col min="13837" max="13837" width="12" style="112" customWidth="1"/>
    <col min="13838" max="13839" width="9" style="112" customWidth="1"/>
    <col min="13840" max="13840" width="11.28515625" style="112" customWidth="1"/>
    <col min="13841" max="13842" width="12" style="112" customWidth="1"/>
    <col min="13843" max="13843" width="17.140625" style="112" customWidth="1"/>
    <col min="13844" max="13844" width="9" style="112" customWidth="1"/>
    <col min="13845" max="13845" width="12" style="112" customWidth="1"/>
    <col min="13846" max="13847" width="9" style="112" customWidth="1"/>
    <col min="13848" max="13848" width="9.85546875" style="112" customWidth="1"/>
    <col min="13849" max="13849" width="10.140625" style="112" customWidth="1"/>
    <col min="13850" max="13850" width="7.85546875" style="112" customWidth="1"/>
    <col min="13851" max="13851" width="8.5703125" style="112" customWidth="1"/>
    <col min="13852" max="13852" width="7.85546875" style="112" customWidth="1"/>
    <col min="13853" max="13853" width="8.7109375" style="112" customWidth="1"/>
    <col min="13854" max="14086" width="9.140625" style="112"/>
    <col min="14087" max="14087" width="5.42578125" style="112" customWidth="1"/>
    <col min="14088" max="14088" width="45.140625" style="112" customWidth="1"/>
    <col min="14089" max="14090" width="12" style="112" customWidth="1"/>
    <col min="14091" max="14091" width="16.140625" style="112" customWidth="1"/>
    <col min="14092" max="14092" width="7.7109375" style="112" customWidth="1"/>
    <col min="14093" max="14093" width="12" style="112" customWidth="1"/>
    <col min="14094" max="14095" width="9" style="112" customWidth="1"/>
    <col min="14096" max="14096" width="11.28515625" style="112" customWidth="1"/>
    <col min="14097" max="14098" width="12" style="112" customWidth="1"/>
    <col min="14099" max="14099" width="17.140625" style="112" customWidth="1"/>
    <col min="14100" max="14100" width="9" style="112" customWidth="1"/>
    <col min="14101" max="14101" width="12" style="112" customWidth="1"/>
    <col min="14102" max="14103" width="9" style="112" customWidth="1"/>
    <col min="14104" max="14104" width="9.85546875" style="112" customWidth="1"/>
    <col min="14105" max="14105" width="10.140625" style="112" customWidth="1"/>
    <col min="14106" max="14106" width="7.85546875" style="112" customWidth="1"/>
    <col min="14107" max="14107" width="8.5703125" style="112" customWidth="1"/>
    <col min="14108" max="14108" width="7.85546875" style="112" customWidth="1"/>
    <col min="14109" max="14109" width="8.7109375" style="112" customWidth="1"/>
    <col min="14110" max="14342" width="9.140625" style="112"/>
    <col min="14343" max="14343" width="5.42578125" style="112" customWidth="1"/>
    <col min="14344" max="14344" width="45.140625" style="112" customWidth="1"/>
    <col min="14345" max="14346" width="12" style="112" customWidth="1"/>
    <col min="14347" max="14347" width="16.140625" style="112" customWidth="1"/>
    <col min="14348" max="14348" width="7.7109375" style="112" customWidth="1"/>
    <col min="14349" max="14349" width="12" style="112" customWidth="1"/>
    <col min="14350" max="14351" width="9" style="112" customWidth="1"/>
    <col min="14352" max="14352" width="11.28515625" style="112" customWidth="1"/>
    <col min="14353" max="14354" width="12" style="112" customWidth="1"/>
    <col min="14355" max="14355" width="17.140625" style="112" customWidth="1"/>
    <col min="14356" max="14356" width="9" style="112" customWidth="1"/>
    <col min="14357" max="14357" width="12" style="112" customWidth="1"/>
    <col min="14358" max="14359" width="9" style="112" customWidth="1"/>
    <col min="14360" max="14360" width="9.85546875" style="112" customWidth="1"/>
    <col min="14361" max="14361" width="10.140625" style="112" customWidth="1"/>
    <col min="14362" max="14362" width="7.85546875" style="112" customWidth="1"/>
    <col min="14363" max="14363" width="8.5703125" style="112" customWidth="1"/>
    <col min="14364" max="14364" width="7.85546875" style="112" customWidth="1"/>
    <col min="14365" max="14365" width="8.7109375" style="112" customWidth="1"/>
    <col min="14366" max="14598" width="9.140625" style="112"/>
    <col min="14599" max="14599" width="5.42578125" style="112" customWidth="1"/>
    <col min="14600" max="14600" width="45.140625" style="112" customWidth="1"/>
    <col min="14601" max="14602" width="12" style="112" customWidth="1"/>
    <col min="14603" max="14603" width="16.140625" style="112" customWidth="1"/>
    <col min="14604" max="14604" width="7.7109375" style="112" customWidth="1"/>
    <col min="14605" max="14605" width="12" style="112" customWidth="1"/>
    <col min="14606" max="14607" width="9" style="112" customWidth="1"/>
    <col min="14608" max="14608" width="11.28515625" style="112" customWidth="1"/>
    <col min="14609" max="14610" width="12" style="112" customWidth="1"/>
    <col min="14611" max="14611" width="17.140625" style="112" customWidth="1"/>
    <col min="14612" max="14612" width="9" style="112" customWidth="1"/>
    <col min="14613" max="14613" width="12" style="112" customWidth="1"/>
    <col min="14614" max="14615" width="9" style="112" customWidth="1"/>
    <col min="14616" max="14616" width="9.85546875" style="112" customWidth="1"/>
    <col min="14617" max="14617" width="10.140625" style="112" customWidth="1"/>
    <col min="14618" max="14618" width="7.85546875" style="112" customWidth="1"/>
    <col min="14619" max="14619" width="8.5703125" style="112" customWidth="1"/>
    <col min="14620" max="14620" width="7.85546875" style="112" customWidth="1"/>
    <col min="14621" max="14621" width="8.7109375" style="112" customWidth="1"/>
    <col min="14622" max="14854" width="9.140625" style="112"/>
    <col min="14855" max="14855" width="5.42578125" style="112" customWidth="1"/>
    <col min="14856" max="14856" width="45.140625" style="112" customWidth="1"/>
    <col min="14857" max="14858" width="12" style="112" customWidth="1"/>
    <col min="14859" max="14859" width="16.140625" style="112" customWidth="1"/>
    <col min="14860" max="14860" width="7.7109375" style="112" customWidth="1"/>
    <col min="14861" max="14861" width="12" style="112" customWidth="1"/>
    <col min="14862" max="14863" width="9" style="112" customWidth="1"/>
    <col min="14864" max="14864" width="11.28515625" style="112" customWidth="1"/>
    <col min="14865" max="14866" width="12" style="112" customWidth="1"/>
    <col min="14867" max="14867" width="17.140625" style="112" customWidth="1"/>
    <col min="14868" max="14868" width="9" style="112" customWidth="1"/>
    <col min="14869" max="14869" width="12" style="112" customWidth="1"/>
    <col min="14870" max="14871" width="9" style="112" customWidth="1"/>
    <col min="14872" max="14872" width="9.85546875" style="112" customWidth="1"/>
    <col min="14873" max="14873" width="10.140625" style="112" customWidth="1"/>
    <col min="14874" max="14874" width="7.85546875" style="112" customWidth="1"/>
    <col min="14875" max="14875" width="8.5703125" style="112" customWidth="1"/>
    <col min="14876" max="14876" width="7.85546875" style="112" customWidth="1"/>
    <col min="14877" max="14877" width="8.7109375" style="112" customWidth="1"/>
    <col min="14878" max="15110" width="9.140625" style="112"/>
    <col min="15111" max="15111" width="5.42578125" style="112" customWidth="1"/>
    <col min="15112" max="15112" width="45.140625" style="112" customWidth="1"/>
    <col min="15113" max="15114" width="12" style="112" customWidth="1"/>
    <col min="15115" max="15115" width="16.140625" style="112" customWidth="1"/>
    <col min="15116" max="15116" width="7.7109375" style="112" customWidth="1"/>
    <col min="15117" max="15117" width="12" style="112" customWidth="1"/>
    <col min="15118" max="15119" width="9" style="112" customWidth="1"/>
    <col min="15120" max="15120" width="11.28515625" style="112" customWidth="1"/>
    <col min="15121" max="15122" width="12" style="112" customWidth="1"/>
    <col min="15123" max="15123" width="17.140625" style="112" customWidth="1"/>
    <col min="15124" max="15124" width="9" style="112" customWidth="1"/>
    <col min="15125" max="15125" width="12" style="112" customWidth="1"/>
    <col min="15126" max="15127" width="9" style="112" customWidth="1"/>
    <col min="15128" max="15128" width="9.85546875" style="112" customWidth="1"/>
    <col min="15129" max="15129" width="10.140625" style="112" customWidth="1"/>
    <col min="15130" max="15130" width="7.85546875" style="112" customWidth="1"/>
    <col min="15131" max="15131" width="8.5703125" style="112" customWidth="1"/>
    <col min="15132" max="15132" width="7.85546875" style="112" customWidth="1"/>
    <col min="15133" max="15133" width="8.7109375" style="112" customWidth="1"/>
    <col min="15134" max="15366" width="9.140625" style="112"/>
    <col min="15367" max="15367" width="5.42578125" style="112" customWidth="1"/>
    <col min="15368" max="15368" width="45.140625" style="112" customWidth="1"/>
    <col min="15369" max="15370" width="12" style="112" customWidth="1"/>
    <col min="15371" max="15371" width="16.140625" style="112" customWidth="1"/>
    <col min="15372" max="15372" width="7.7109375" style="112" customWidth="1"/>
    <col min="15373" max="15373" width="12" style="112" customWidth="1"/>
    <col min="15374" max="15375" width="9" style="112" customWidth="1"/>
    <col min="15376" max="15376" width="11.28515625" style="112" customWidth="1"/>
    <col min="15377" max="15378" width="12" style="112" customWidth="1"/>
    <col min="15379" max="15379" width="17.140625" style="112" customWidth="1"/>
    <col min="15380" max="15380" width="9" style="112" customWidth="1"/>
    <col min="15381" max="15381" width="12" style="112" customWidth="1"/>
    <col min="15382" max="15383" width="9" style="112" customWidth="1"/>
    <col min="15384" max="15384" width="9.85546875" style="112" customWidth="1"/>
    <col min="15385" max="15385" width="10.140625" style="112" customWidth="1"/>
    <col min="15386" max="15386" width="7.85546875" style="112" customWidth="1"/>
    <col min="15387" max="15387" width="8.5703125" style="112" customWidth="1"/>
    <col min="15388" max="15388" width="7.85546875" style="112" customWidth="1"/>
    <col min="15389" max="15389" width="8.7109375" style="112" customWidth="1"/>
    <col min="15390" max="15622" width="9.140625" style="112"/>
    <col min="15623" max="15623" width="5.42578125" style="112" customWidth="1"/>
    <col min="15624" max="15624" width="45.140625" style="112" customWidth="1"/>
    <col min="15625" max="15626" width="12" style="112" customWidth="1"/>
    <col min="15627" max="15627" width="16.140625" style="112" customWidth="1"/>
    <col min="15628" max="15628" width="7.7109375" style="112" customWidth="1"/>
    <col min="15629" max="15629" width="12" style="112" customWidth="1"/>
    <col min="15630" max="15631" width="9" style="112" customWidth="1"/>
    <col min="15632" max="15632" width="11.28515625" style="112" customWidth="1"/>
    <col min="15633" max="15634" width="12" style="112" customWidth="1"/>
    <col min="15635" max="15635" width="17.140625" style="112" customWidth="1"/>
    <col min="15636" max="15636" width="9" style="112" customWidth="1"/>
    <col min="15637" max="15637" width="12" style="112" customWidth="1"/>
    <col min="15638" max="15639" width="9" style="112" customWidth="1"/>
    <col min="15640" max="15640" width="9.85546875" style="112" customWidth="1"/>
    <col min="15641" max="15641" width="10.140625" style="112" customWidth="1"/>
    <col min="15642" max="15642" width="7.85546875" style="112" customWidth="1"/>
    <col min="15643" max="15643" width="8.5703125" style="112" customWidth="1"/>
    <col min="15644" max="15644" width="7.85546875" style="112" customWidth="1"/>
    <col min="15645" max="15645" width="8.7109375" style="112" customWidth="1"/>
    <col min="15646" max="15878" width="9.140625" style="112"/>
    <col min="15879" max="15879" width="5.42578125" style="112" customWidth="1"/>
    <col min="15880" max="15880" width="45.140625" style="112" customWidth="1"/>
    <col min="15881" max="15882" width="12" style="112" customWidth="1"/>
    <col min="15883" max="15883" width="16.140625" style="112" customWidth="1"/>
    <col min="15884" max="15884" width="7.7109375" style="112" customWidth="1"/>
    <col min="15885" max="15885" width="12" style="112" customWidth="1"/>
    <col min="15886" max="15887" width="9" style="112" customWidth="1"/>
    <col min="15888" max="15888" width="11.28515625" style="112" customWidth="1"/>
    <col min="15889" max="15890" width="12" style="112" customWidth="1"/>
    <col min="15891" max="15891" width="17.140625" style="112" customWidth="1"/>
    <col min="15892" max="15892" width="9" style="112" customWidth="1"/>
    <col min="15893" max="15893" width="12" style="112" customWidth="1"/>
    <col min="15894" max="15895" width="9" style="112" customWidth="1"/>
    <col min="15896" max="15896" width="9.85546875" style="112" customWidth="1"/>
    <col min="15897" max="15897" width="10.140625" style="112" customWidth="1"/>
    <col min="15898" max="15898" width="7.85546875" style="112" customWidth="1"/>
    <col min="15899" max="15899" width="8.5703125" style="112" customWidth="1"/>
    <col min="15900" max="15900" width="7.85546875" style="112" customWidth="1"/>
    <col min="15901" max="15901" width="8.7109375" style="112" customWidth="1"/>
    <col min="15902" max="16134" width="9.140625" style="112"/>
    <col min="16135" max="16135" width="5.42578125" style="112" customWidth="1"/>
    <col min="16136" max="16136" width="45.140625" style="112" customWidth="1"/>
    <col min="16137" max="16138" width="12" style="112" customWidth="1"/>
    <col min="16139" max="16139" width="16.140625" style="112" customWidth="1"/>
    <col min="16140" max="16140" width="7.7109375" style="112" customWidth="1"/>
    <col min="16141" max="16141" width="12" style="112" customWidth="1"/>
    <col min="16142" max="16143" width="9" style="112" customWidth="1"/>
    <col min="16144" max="16144" width="11.28515625" style="112" customWidth="1"/>
    <col min="16145" max="16146" width="12" style="112" customWidth="1"/>
    <col min="16147" max="16147" width="17.140625" style="112" customWidth="1"/>
    <col min="16148" max="16148" width="9" style="112" customWidth="1"/>
    <col min="16149" max="16149" width="12" style="112" customWidth="1"/>
    <col min="16150" max="16151" width="9" style="112" customWidth="1"/>
    <col min="16152" max="16152" width="9.85546875" style="112" customWidth="1"/>
    <col min="16153" max="16153" width="10.140625" style="112" customWidth="1"/>
    <col min="16154" max="16154" width="7.85546875" style="112" customWidth="1"/>
    <col min="16155" max="16155" width="8.5703125" style="112" customWidth="1"/>
    <col min="16156" max="16156" width="7.85546875" style="112" customWidth="1"/>
    <col min="16157" max="16157" width="8.7109375" style="112" customWidth="1"/>
    <col min="16158" max="16384" width="9.140625" style="112"/>
  </cols>
  <sheetData>
    <row r="1" spans="1:35" ht="16.5">
      <c r="A1" s="110"/>
      <c r="B1" s="629" t="s">
        <v>537</v>
      </c>
      <c r="C1" s="629"/>
      <c r="D1" s="33"/>
      <c r="E1" s="111"/>
      <c r="F1" s="111"/>
      <c r="G1" s="111"/>
      <c r="H1" s="111"/>
      <c r="O1" s="33"/>
      <c r="P1" s="111"/>
      <c r="Q1" s="111"/>
      <c r="R1" s="111"/>
      <c r="AB1" s="113"/>
      <c r="AF1" s="112"/>
    </row>
    <row r="2" spans="1:35">
      <c r="A2" s="114"/>
      <c r="B2" s="111"/>
      <c r="C2" s="111"/>
      <c r="D2" s="33"/>
      <c r="G2" s="111"/>
      <c r="O2" s="33"/>
      <c r="AB2" s="111"/>
      <c r="AF2" s="112"/>
    </row>
    <row r="3" spans="1:35" ht="21.75" customHeight="1">
      <c r="A3" s="630" t="s">
        <v>850</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14"/>
    </row>
    <row r="4" spans="1:35" ht="21.75" customHeight="1">
      <c r="A4" s="631" t="s">
        <v>641</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14"/>
    </row>
    <row r="5" spans="1:35">
      <c r="B5" s="118"/>
      <c r="C5" s="111"/>
      <c r="D5" s="111"/>
      <c r="E5" s="111"/>
      <c r="F5" s="111"/>
      <c r="G5" s="111"/>
      <c r="H5" s="111"/>
      <c r="I5" s="111"/>
      <c r="J5" s="111"/>
      <c r="K5" s="111"/>
      <c r="L5" s="111"/>
      <c r="M5" s="111"/>
      <c r="N5" s="111"/>
      <c r="O5" s="111"/>
      <c r="P5" s="111"/>
      <c r="Q5" s="111"/>
      <c r="R5" s="111"/>
      <c r="S5" s="111"/>
      <c r="T5" s="111"/>
      <c r="U5" s="111"/>
      <c r="W5" s="33"/>
      <c r="X5" s="111"/>
      <c r="Y5" s="111"/>
      <c r="Z5" s="111"/>
      <c r="AA5" s="111"/>
      <c r="AB5" s="606"/>
      <c r="AC5" s="606"/>
      <c r="AD5" s="624" t="s">
        <v>539</v>
      </c>
      <c r="AE5" s="624"/>
      <c r="AF5" s="112"/>
    </row>
    <row r="6" spans="1:35" s="16" customFormat="1" ht="15.75" customHeight="1">
      <c r="A6" s="625" t="s">
        <v>16</v>
      </c>
      <c r="B6" s="625" t="s">
        <v>375</v>
      </c>
      <c r="C6" s="627" t="s">
        <v>303</v>
      </c>
      <c r="D6" s="632"/>
      <c r="E6" s="632"/>
      <c r="F6" s="632"/>
      <c r="G6" s="632"/>
      <c r="H6" s="632"/>
      <c r="I6" s="632"/>
      <c r="J6" s="632"/>
      <c r="K6" s="632"/>
      <c r="L6" s="632"/>
      <c r="M6" s="628"/>
      <c r="N6" s="627" t="s">
        <v>324</v>
      </c>
      <c r="O6" s="632"/>
      <c r="P6" s="632"/>
      <c r="Q6" s="632"/>
      <c r="R6" s="632"/>
      <c r="S6" s="632"/>
      <c r="T6" s="632"/>
      <c r="U6" s="632"/>
      <c r="V6" s="632"/>
      <c r="W6" s="632"/>
      <c r="X6" s="632"/>
      <c r="Y6" s="119"/>
      <c r="Z6" s="119"/>
      <c r="AA6" s="119"/>
      <c r="AB6" s="625" t="s">
        <v>325</v>
      </c>
      <c r="AC6" s="625"/>
      <c r="AD6" s="625"/>
      <c r="AE6" s="625"/>
    </row>
    <row r="7" spans="1:35" s="16" customFormat="1" ht="33.75" customHeight="1">
      <c r="A7" s="625"/>
      <c r="B7" s="625"/>
      <c r="C7" s="625" t="s">
        <v>588</v>
      </c>
      <c r="D7" s="625" t="s">
        <v>376</v>
      </c>
      <c r="E7" s="625" t="s">
        <v>377</v>
      </c>
      <c r="F7" s="625" t="s">
        <v>378</v>
      </c>
      <c r="G7" s="627" t="s">
        <v>379</v>
      </c>
      <c r="H7" s="628"/>
      <c r="I7" s="625" t="s">
        <v>587</v>
      </c>
      <c r="J7" s="607" t="s">
        <v>861</v>
      </c>
      <c r="K7" s="625" t="s">
        <v>380</v>
      </c>
      <c r="L7" s="625"/>
      <c r="M7" s="625"/>
      <c r="N7" s="625" t="s">
        <v>155</v>
      </c>
      <c r="O7" s="625" t="s">
        <v>376</v>
      </c>
      <c r="P7" s="625" t="s">
        <v>377</v>
      </c>
      <c r="Q7" s="633" t="s">
        <v>159</v>
      </c>
      <c r="R7" s="634"/>
      <c r="S7" s="625" t="s">
        <v>587</v>
      </c>
      <c r="T7" s="625" t="s">
        <v>719</v>
      </c>
      <c r="U7" s="625" t="s">
        <v>380</v>
      </c>
      <c r="V7" s="625"/>
      <c r="W7" s="625"/>
      <c r="X7" s="625" t="s">
        <v>381</v>
      </c>
      <c r="Y7" s="627" t="s">
        <v>159</v>
      </c>
      <c r="Z7" s="628"/>
      <c r="AA7" s="625" t="s">
        <v>472</v>
      </c>
      <c r="AB7" s="625" t="s">
        <v>155</v>
      </c>
      <c r="AC7" s="626" t="s">
        <v>376</v>
      </c>
      <c r="AD7" s="626" t="s">
        <v>377</v>
      </c>
      <c r="AE7" s="626" t="s">
        <v>380</v>
      </c>
    </row>
    <row r="8" spans="1:35" s="122" customFormat="1" ht="123" customHeight="1">
      <c r="A8" s="625"/>
      <c r="B8" s="625"/>
      <c r="C8" s="625"/>
      <c r="D8" s="625"/>
      <c r="E8" s="625"/>
      <c r="F8" s="625"/>
      <c r="G8" s="120" t="s">
        <v>171</v>
      </c>
      <c r="H8" s="120" t="s">
        <v>172</v>
      </c>
      <c r="I8" s="625"/>
      <c r="J8" s="607"/>
      <c r="K8" s="35" t="s">
        <v>155</v>
      </c>
      <c r="L8" s="35" t="s">
        <v>383</v>
      </c>
      <c r="M8" s="35" t="s">
        <v>384</v>
      </c>
      <c r="N8" s="625"/>
      <c r="O8" s="625"/>
      <c r="P8" s="625"/>
      <c r="Q8" s="121" t="s">
        <v>385</v>
      </c>
      <c r="R8" s="121" t="s">
        <v>386</v>
      </c>
      <c r="S8" s="625"/>
      <c r="T8" s="625"/>
      <c r="U8" s="35" t="s">
        <v>155</v>
      </c>
      <c r="V8" s="35" t="s">
        <v>383</v>
      </c>
      <c r="W8" s="35" t="s">
        <v>384</v>
      </c>
      <c r="X8" s="625"/>
      <c r="Y8" s="120" t="s">
        <v>387</v>
      </c>
      <c r="Z8" s="120" t="s">
        <v>388</v>
      </c>
      <c r="AA8" s="625"/>
      <c r="AB8" s="625"/>
      <c r="AC8" s="626"/>
      <c r="AD8" s="626"/>
      <c r="AE8" s="626"/>
    </row>
    <row r="9" spans="1:35" s="124" customFormat="1" ht="18.75" customHeight="1">
      <c r="A9" s="123" t="s">
        <v>23</v>
      </c>
      <c r="B9" s="123" t="s">
        <v>24</v>
      </c>
      <c r="C9" s="123" t="s">
        <v>389</v>
      </c>
      <c r="D9" s="123">
        <v>2</v>
      </c>
      <c r="E9" s="123">
        <v>3</v>
      </c>
      <c r="F9" s="123"/>
      <c r="G9" s="123"/>
      <c r="H9" s="123"/>
      <c r="I9" s="123">
        <v>4</v>
      </c>
      <c r="J9" s="123">
        <v>5</v>
      </c>
      <c r="K9" s="123" t="s">
        <v>390</v>
      </c>
      <c r="L9" s="123">
        <v>7</v>
      </c>
      <c r="M9" s="123">
        <v>8</v>
      </c>
      <c r="N9" s="182" t="s">
        <v>391</v>
      </c>
      <c r="O9" s="123">
        <v>10</v>
      </c>
      <c r="P9" s="123">
        <v>11</v>
      </c>
      <c r="Q9" s="123"/>
      <c r="R9" s="123"/>
      <c r="S9" s="123">
        <v>12</v>
      </c>
      <c r="T9" s="123">
        <v>13</v>
      </c>
      <c r="U9" s="123" t="s">
        <v>392</v>
      </c>
      <c r="V9" s="123">
        <v>15</v>
      </c>
      <c r="W9" s="123">
        <v>16</v>
      </c>
      <c r="X9" s="123" t="s">
        <v>393</v>
      </c>
      <c r="Y9" s="123">
        <v>18</v>
      </c>
      <c r="Z9" s="123">
        <v>19</v>
      </c>
      <c r="AA9" s="123">
        <v>20</v>
      </c>
      <c r="AB9" s="123" t="s">
        <v>394</v>
      </c>
      <c r="AC9" s="123" t="s">
        <v>395</v>
      </c>
      <c r="AD9" s="123" t="s">
        <v>396</v>
      </c>
      <c r="AE9" s="123" t="s">
        <v>397</v>
      </c>
      <c r="AG9" s="129"/>
    </row>
    <row r="10" spans="1:35" s="124" customFormat="1" ht="18.75" hidden="1" customHeight="1">
      <c r="A10" s="473"/>
      <c r="B10" s="473"/>
      <c r="C10" s="474"/>
      <c r="D10" s="473"/>
      <c r="E10" s="473"/>
      <c r="F10" s="473"/>
      <c r="G10" s="473"/>
      <c r="H10" s="473"/>
      <c r="I10" s="473"/>
      <c r="J10" s="473"/>
      <c r="K10" s="473"/>
      <c r="L10" s="473"/>
      <c r="M10" s="473"/>
      <c r="N10" s="475"/>
      <c r="O10" s="476"/>
      <c r="P10" s="363"/>
      <c r="Q10" s="477"/>
      <c r="R10" s="473"/>
      <c r="S10" s="473"/>
      <c r="T10" s="473"/>
      <c r="U10" s="473"/>
      <c r="V10" s="473"/>
      <c r="W10" s="473"/>
      <c r="X10" s="473"/>
      <c r="Y10" s="473"/>
      <c r="Z10" s="473"/>
      <c r="AA10" s="473"/>
      <c r="AB10" s="474"/>
      <c r="AC10" s="474"/>
      <c r="AD10" s="474"/>
      <c r="AE10" s="474"/>
      <c r="AG10" s="129"/>
    </row>
    <row r="11" spans="1:35" s="125" customFormat="1" ht="18.75" customHeight="1">
      <c r="A11" s="34"/>
      <c r="B11" s="34" t="s">
        <v>155</v>
      </c>
      <c r="C11" s="34">
        <f t="shared" ref="C11:I11" si="0">C12+C113+C114+C115+C118+C119+C109+C116+C117+C120</f>
        <v>4861647.4558450002</v>
      </c>
      <c r="D11" s="34">
        <f t="shared" si="0"/>
        <v>1753444.417562</v>
      </c>
      <c r="E11" s="34">
        <f t="shared" si="0"/>
        <v>1804680.0382830002</v>
      </c>
      <c r="F11" s="34">
        <f t="shared" si="0"/>
        <v>1680763.0382830002</v>
      </c>
      <c r="G11" s="34">
        <f t="shared" si="0"/>
        <v>3790</v>
      </c>
      <c r="H11" s="34">
        <f t="shared" si="0"/>
        <v>59126</v>
      </c>
      <c r="I11" s="34">
        <f t="shared" si="0"/>
        <v>2200</v>
      </c>
      <c r="J11" s="34">
        <f>J12+J113+J114+J115+J118+J119+J109+J116+J117+J120</f>
        <v>1301323</v>
      </c>
      <c r="K11" s="34">
        <f t="shared" ref="K11:AA11" si="1">K12+K113+K114+K115+K118+K119+K109+K116+K117+K120</f>
        <v>0</v>
      </c>
      <c r="L11" s="34">
        <f t="shared" si="1"/>
        <v>0</v>
      </c>
      <c r="M11" s="34">
        <f t="shared" si="1"/>
        <v>0</v>
      </c>
      <c r="N11" s="34">
        <f>N12+N113+N114+N115+N118+N119+N109+N116+N117+N120+0.3</f>
        <v>5884741.7289760001</v>
      </c>
      <c r="O11" s="34">
        <f>O12+O113+O114+O115+O118+O119+O109+O116+O117+O120</f>
        <v>1716505.5503489999</v>
      </c>
      <c r="P11" s="34">
        <f t="shared" si="1"/>
        <v>1800607.1564369998</v>
      </c>
      <c r="Q11" s="34">
        <f t="shared" si="1"/>
        <v>1460838.5994149998</v>
      </c>
      <c r="R11" s="34">
        <f t="shared" si="1"/>
        <v>339768.55702200002</v>
      </c>
      <c r="S11" s="34">
        <f t="shared" si="1"/>
        <v>9699.7659999999996</v>
      </c>
      <c r="T11" s="34">
        <f t="shared" si="1"/>
        <v>35154</v>
      </c>
      <c r="U11" s="34">
        <f t="shared" si="1"/>
        <v>48959.139996999998</v>
      </c>
      <c r="V11" s="34">
        <f t="shared" si="1"/>
        <v>3304</v>
      </c>
      <c r="W11" s="34">
        <f t="shared" si="1"/>
        <v>45655.139996999991</v>
      </c>
      <c r="X11" s="34">
        <f t="shared" si="1"/>
        <v>1955445.8067010001</v>
      </c>
      <c r="Y11" s="34">
        <f t="shared" si="1"/>
        <v>0</v>
      </c>
      <c r="Z11" s="34">
        <f t="shared" si="1"/>
        <v>0</v>
      </c>
      <c r="AA11" s="34">
        <f t="shared" si="1"/>
        <v>318370.00949199998</v>
      </c>
      <c r="AB11" s="338">
        <f t="shared" ref="AB11:AC26" si="2">N11/C11%</f>
        <v>121.04418887677605</v>
      </c>
      <c r="AC11" s="338">
        <f>O11/D11%</f>
        <v>97.893353969876046</v>
      </c>
      <c r="AD11" s="338">
        <f t="shared" ref="AD11:AD71" si="3">P11/E11%</f>
        <v>99.774315570649549</v>
      </c>
      <c r="AE11" s="338"/>
      <c r="AF11" s="126"/>
      <c r="AH11" s="126"/>
    </row>
    <row r="12" spans="1:35" s="125" customFormat="1" ht="24.75" customHeight="1">
      <c r="A12" s="337" t="s">
        <v>28</v>
      </c>
      <c r="B12" s="339" t="s">
        <v>156</v>
      </c>
      <c r="C12" s="337">
        <f>D12+E12+I12+J12+K12</f>
        <v>3497123.4558450002</v>
      </c>
      <c r="D12" s="337">
        <f t="shared" ref="D12:Z12" si="4">D13+D97</f>
        <v>1753444.417562</v>
      </c>
      <c r="E12" s="337">
        <f t="shared" si="4"/>
        <v>1743679.0382830002</v>
      </c>
      <c r="F12" s="337">
        <f t="shared" si="4"/>
        <v>1680763.0382830002</v>
      </c>
      <c r="G12" s="337">
        <f t="shared" si="4"/>
        <v>3790</v>
      </c>
      <c r="H12" s="337">
        <f t="shared" si="4"/>
        <v>59126</v>
      </c>
      <c r="I12" s="337">
        <f t="shared" si="4"/>
        <v>0</v>
      </c>
      <c r="J12" s="337">
        <f t="shared" si="4"/>
        <v>0</v>
      </c>
      <c r="K12" s="337">
        <f t="shared" si="4"/>
        <v>0</v>
      </c>
      <c r="L12" s="337">
        <f t="shared" si="4"/>
        <v>0</v>
      </c>
      <c r="M12" s="337">
        <f t="shared" si="4"/>
        <v>0</v>
      </c>
      <c r="N12" s="337">
        <f t="shared" si="4"/>
        <v>3566071.8467830005</v>
      </c>
      <c r="O12" s="337">
        <f>O13+O97</f>
        <v>1716505.5503489999</v>
      </c>
      <c r="P12" s="337">
        <f t="shared" si="4"/>
        <v>1800607.1564369998</v>
      </c>
      <c r="Q12" s="337">
        <f t="shared" si="4"/>
        <v>1460838.5994149998</v>
      </c>
      <c r="R12" s="337">
        <f t="shared" si="4"/>
        <v>339768.55702200002</v>
      </c>
      <c r="S12" s="337">
        <f t="shared" si="4"/>
        <v>0</v>
      </c>
      <c r="T12" s="337">
        <f t="shared" si="4"/>
        <v>0</v>
      </c>
      <c r="U12" s="337">
        <f t="shared" si="4"/>
        <v>48959.139996999998</v>
      </c>
      <c r="V12" s="337">
        <f t="shared" si="4"/>
        <v>3304</v>
      </c>
      <c r="W12" s="337">
        <f t="shared" si="4"/>
        <v>45655.139996999991</v>
      </c>
      <c r="X12" s="337">
        <f t="shared" si="4"/>
        <v>0</v>
      </c>
      <c r="Y12" s="337">
        <f t="shared" si="4"/>
        <v>0</v>
      </c>
      <c r="Z12" s="337">
        <f t="shared" si="4"/>
        <v>0</v>
      </c>
      <c r="AA12" s="337"/>
      <c r="AB12" s="338">
        <f t="shared" si="2"/>
        <v>101.97157440417958</v>
      </c>
      <c r="AC12" s="338">
        <f t="shared" si="2"/>
        <v>97.893353969876046</v>
      </c>
      <c r="AD12" s="338">
        <f t="shared" si="3"/>
        <v>103.26482780971298</v>
      </c>
      <c r="AE12" s="338"/>
      <c r="AF12" s="126"/>
      <c r="AG12" s="126"/>
      <c r="AH12" s="126"/>
      <c r="AI12" s="126"/>
    </row>
    <row r="13" spans="1:35" s="125" customFormat="1" ht="33.75" customHeight="1">
      <c r="A13" s="337" t="s">
        <v>398</v>
      </c>
      <c r="B13" s="339" t="s">
        <v>399</v>
      </c>
      <c r="C13" s="337">
        <f t="shared" ref="C13:AA13" si="5">SUM(C14:C96)</f>
        <v>3246257.4558450002</v>
      </c>
      <c r="D13" s="337">
        <f t="shared" si="5"/>
        <v>1502578.417562</v>
      </c>
      <c r="E13" s="337">
        <f t="shared" si="5"/>
        <v>1743679.0382830002</v>
      </c>
      <c r="F13" s="337">
        <f t="shared" si="5"/>
        <v>1680763.0382830002</v>
      </c>
      <c r="G13" s="337">
        <f t="shared" si="5"/>
        <v>3790</v>
      </c>
      <c r="H13" s="337">
        <f t="shared" si="5"/>
        <v>59126</v>
      </c>
      <c r="I13" s="337">
        <f t="shared" si="5"/>
        <v>0</v>
      </c>
      <c r="J13" s="337">
        <f t="shared" si="5"/>
        <v>0</v>
      </c>
      <c r="K13" s="337">
        <f t="shared" si="5"/>
        <v>0</v>
      </c>
      <c r="L13" s="337">
        <f t="shared" si="5"/>
        <v>0</v>
      </c>
      <c r="M13" s="337">
        <f t="shared" si="5"/>
        <v>0</v>
      </c>
      <c r="N13" s="337">
        <f t="shared" si="5"/>
        <v>3135728.3458790006</v>
      </c>
      <c r="O13" s="337">
        <f>SUM(O14:O96)</f>
        <v>1286212.0494449998</v>
      </c>
      <c r="P13" s="337">
        <f t="shared" si="5"/>
        <v>1800607.1564369998</v>
      </c>
      <c r="Q13" s="337">
        <f t="shared" si="5"/>
        <v>1460838.5994149998</v>
      </c>
      <c r="R13" s="337">
        <f t="shared" si="5"/>
        <v>339768.55702200002</v>
      </c>
      <c r="S13" s="337">
        <f t="shared" si="5"/>
        <v>0</v>
      </c>
      <c r="T13" s="337">
        <f t="shared" si="5"/>
        <v>0</v>
      </c>
      <c r="U13" s="337">
        <f t="shared" si="5"/>
        <v>48909.139996999998</v>
      </c>
      <c r="V13" s="337">
        <f t="shared" si="5"/>
        <v>3254</v>
      </c>
      <c r="W13" s="337">
        <f t="shared" si="5"/>
        <v>45655.139996999991</v>
      </c>
      <c r="X13" s="337">
        <f t="shared" si="5"/>
        <v>0</v>
      </c>
      <c r="Y13" s="337">
        <f t="shared" si="5"/>
        <v>0</v>
      </c>
      <c r="Z13" s="337">
        <f t="shared" si="5"/>
        <v>0</v>
      </c>
      <c r="AA13" s="337">
        <f t="shared" si="5"/>
        <v>0</v>
      </c>
      <c r="AB13" s="338">
        <f t="shared" si="2"/>
        <v>96.595183485308965</v>
      </c>
      <c r="AC13" s="338">
        <f t="shared" si="2"/>
        <v>85.600327704156413</v>
      </c>
      <c r="AD13" s="338">
        <f t="shared" si="3"/>
        <v>103.26482780971298</v>
      </c>
      <c r="AE13" s="338"/>
      <c r="AF13" s="126"/>
      <c r="AG13" s="183"/>
      <c r="AH13" s="126"/>
      <c r="AI13" s="112"/>
    </row>
    <row r="14" spans="1:35" s="127" customFormat="1" ht="25.5" customHeight="1">
      <c r="A14" s="340" t="s">
        <v>244</v>
      </c>
      <c r="B14" s="341" t="s">
        <v>720</v>
      </c>
      <c r="C14" s="342">
        <f>D14+E14+I14+J14+K14</f>
        <v>134617</v>
      </c>
      <c r="D14" s="342">
        <v>0</v>
      </c>
      <c r="E14" s="342">
        <f>F14+G14+H14</f>
        <v>134617</v>
      </c>
      <c r="F14" s="342">
        <v>134617</v>
      </c>
      <c r="G14" s="342"/>
      <c r="H14" s="342"/>
      <c r="I14" s="342"/>
      <c r="J14" s="342"/>
      <c r="K14" s="342">
        <f t="shared" ref="K14:K77" si="6">L14+M14</f>
        <v>0</v>
      </c>
      <c r="L14" s="342"/>
      <c r="M14" s="342"/>
      <c r="N14" s="342">
        <f>O14+P14+S14+T14+U14</f>
        <v>126874.823317</v>
      </c>
      <c r="O14" s="342"/>
      <c r="P14" s="343">
        <f>Q14+R14</f>
        <v>121092.07612900001</v>
      </c>
      <c r="Q14" s="342">
        <f>5430.126913-693.126913+4824.341957-77.794599+3982.627167-138.337889+3604.341875+8115.338623+4833.6154+12484.92949+630+3971+4021+3021+3326+3251+2751.942+1707.045805+4896.124-1263.124+3101+1948.031+3281.834+3914+10707.59304+2641+2735.495+3573+2610+2239+1613+2123.078687+4917.57-1022.57+606.266639+9009.659827-1992.659827+1003.861894-595.13396</f>
        <v>121092.07612900001</v>
      </c>
      <c r="R14" s="343"/>
      <c r="S14" s="342"/>
      <c r="T14" s="342"/>
      <c r="U14" s="342">
        <f t="shared" ref="U14:U34" si="7">V14+W14</f>
        <v>5782.7471880000003</v>
      </c>
      <c r="V14" s="342"/>
      <c r="W14" s="342">
        <f>693.126913+77.794599+138.337889+1263.124+1022.57+1992.659827+595.13396</f>
        <v>5782.7471880000003</v>
      </c>
      <c r="X14" s="342"/>
      <c r="Y14" s="342"/>
      <c r="Z14" s="342"/>
      <c r="AA14" s="342"/>
      <c r="AB14" s="344">
        <f t="shared" si="2"/>
        <v>94.248737764918246</v>
      </c>
      <c r="AC14" s="344">
        <v>0</v>
      </c>
      <c r="AD14" s="344">
        <f t="shared" si="3"/>
        <v>89.953034259417464</v>
      </c>
      <c r="AE14" s="344"/>
      <c r="AF14" s="126"/>
      <c r="AG14" s="111"/>
      <c r="AH14" s="126"/>
      <c r="AI14" s="112"/>
    </row>
    <row r="15" spans="1:35" s="127" customFormat="1" ht="24.75" customHeight="1">
      <c r="A15" s="345" t="s">
        <v>245</v>
      </c>
      <c r="B15" s="478" t="s">
        <v>666</v>
      </c>
      <c r="C15" s="342">
        <f t="shared" ref="C15:C78" si="8">D15+E15+I15+J15+K15</f>
        <v>44232</v>
      </c>
      <c r="D15" s="342">
        <v>15699</v>
      </c>
      <c r="E15" s="342">
        <f t="shared" ref="E15:E78" si="9">F15+G15+H15</f>
        <v>28533</v>
      </c>
      <c r="F15" s="342">
        <v>28533</v>
      </c>
      <c r="G15" s="342"/>
      <c r="H15" s="342"/>
      <c r="I15" s="342"/>
      <c r="J15" s="342"/>
      <c r="K15" s="342">
        <f t="shared" si="6"/>
        <v>0</v>
      </c>
      <c r="L15" s="342"/>
      <c r="M15" s="342"/>
      <c r="N15" s="342">
        <f>O15+P15+S15+T15+U15</f>
        <v>44658.542472000001</v>
      </c>
      <c r="O15" s="342">
        <v>11364.845472000001</v>
      </c>
      <c r="P15" s="343">
        <f t="shared" ref="P15:P78" si="10">Q15+R15</f>
        <v>33293.697</v>
      </c>
      <c r="Q15" s="342">
        <v>33293.697</v>
      </c>
      <c r="R15" s="342"/>
      <c r="S15" s="342"/>
      <c r="T15" s="342"/>
      <c r="U15" s="342">
        <f t="shared" si="7"/>
        <v>0</v>
      </c>
      <c r="V15" s="342"/>
      <c r="W15" s="342"/>
      <c r="X15" s="342"/>
      <c r="Y15" s="342"/>
      <c r="Z15" s="342"/>
      <c r="AA15" s="342"/>
      <c r="AB15" s="344">
        <f t="shared" si="2"/>
        <v>100.9643300596853</v>
      </c>
      <c r="AC15" s="344">
        <f t="shared" si="2"/>
        <v>72.392161742786172</v>
      </c>
      <c r="AD15" s="344">
        <f t="shared" si="3"/>
        <v>116.68488066449375</v>
      </c>
      <c r="AE15" s="344"/>
      <c r="AF15" s="126"/>
      <c r="AG15" s="111"/>
      <c r="AH15" s="126"/>
      <c r="AI15" s="112"/>
    </row>
    <row r="16" spans="1:35" s="127" customFormat="1" ht="24.75" customHeight="1">
      <c r="A16" s="340" t="s">
        <v>246</v>
      </c>
      <c r="B16" s="346" t="s">
        <v>667</v>
      </c>
      <c r="C16" s="342">
        <f t="shared" si="8"/>
        <v>194981</v>
      </c>
      <c r="D16" s="342">
        <v>117000</v>
      </c>
      <c r="E16" s="342">
        <f t="shared" si="9"/>
        <v>77981</v>
      </c>
      <c r="F16" s="342">
        <v>34054</v>
      </c>
      <c r="G16" s="342"/>
      <c r="H16" s="342">
        <f>650+43277</f>
        <v>43927</v>
      </c>
      <c r="I16" s="342"/>
      <c r="J16" s="342"/>
      <c r="K16" s="342">
        <f t="shared" si="6"/>
        <v>0</v>
      </c>
      <c r="L16" s="342"/>
      <c r="M16" s="342"/>
      <c r="N16" s="342">
        <f t="shared" ref="N16:N79" si="11">O16+P16+S16+T16+U16</f>
        <v>114107.70840200002</v>
      </c>
      <c r="O16" s="342">
        <v>26257.656500000005</v>
      </c>
      <c r="P16" s="343">
        <f t="shared" si="10"/>
        <v>87850.051902000007</v>
      </c>
      <c r="Q16" s="342">
        <f>97.695+5649.366979+82102.989923</f>
        <v>87850.051902000007</v>
      </c>
      <c r="R16" s="343"/>
      <c r="S16" s="342"/>
      <c r="T16" s="342"/>
      <c r="U16" s="342">
        <f t="shared" si="7"/>
        <v>0</v>
      </c>
      <c r="V16" s="342"/>
      <c r="W16" s="342"/>
      <c r="X16" s="342"/>
      <c r="Y16" s="342"/>
      <c r="Z16" s="342"/>
      <c r="AA16" s="342"/>
      <c r="AB16" s="344">
        <f t="shared" si="2"/>
        <v>58.522475729430056</v>
      </c>
      <c r="AC16" s="344"/>
      <c r="AD16" s="344">
        <f t="shared" si="3"/>
        <v>112.65571344558292</v>
      </c>
      <c r="AE16" s="344"/>
      <c r="AF16" s="126"/>
      <c r="AG16" s="111"/>
      <c r="AH16" s="126"/>
      <c r="AI16" s="112"/>
    </row>
    <row r="17" spans="1:38" s="127" customFormat="1" ht="24.75" customHeight="1">
      <c r="A17" s="345" t="s">
        <v>247</v>
      </c>
      <c r="B17" s="346" t="s">
        <v>668</v>
      </c>
      <c r="C17" s="342">
        <f t="shared" si="8"/>
        <v>1650</v>
      </c>
      <c r="D17" s="364"/>
      <c r="E17" s="342">
        <f t="shared" si="9"/>
        <v>1650</v>
      </c>
      <c r="F17" s="342">
        <v>350</v>
      </c>
      <c r="G17" s="342"/>
      <c r="H17" s="342">
        <v>1300</v>
      </c>
      <c r="I17" s="342"/>
      <c r="J17" s="342"/>
      <c r="K17" s="342">
        <f t="shared" si="6"/>
        <v>0</v>
      </c>
      <c r="L17" s="342"/>
      <c r="M17" s="342"/>
      <c r="N17" s="342">
        <f t="shared" si="11"/>
        <v>1289.5282099999999</v>
      </c>
      <c r="O17" s="342"/>
      <c r="P17" s="343">
        <f t="shared" si="10"/>
        <v>1289.5282099999999</v>
      </c>
      <c r="Q17" s="342">
        <v>1289.5282099999999</v>
      </c>
      <c r="R17" s="342"/>
      <c r="S17" s="342"/>
      <c r="T17" s="342"/>
      <c r="U17" s="342">
        <f t="shared" si="7"/>
        <v>0</v>
      </c>
      <c r="V17" s="342"/>
      <c r="W17" s="342"/>
      <c r="X17" s="342"/>
      <c r="Y17" s="342"/>
      <c r="Z17" s="342"/>
      <c r="AA17" s="342"/>
      <c r="AB17" s="344">
        <f t="shared" si="2"/>
        <v>78.15322484848484</v>
      </c>
      <c r="AC17" s="344">
        <v>0</v>
      </c>
      <c r="AD17" s="344">
        <f t="shared" si="3"/>
        <v>78.15322484848484</v>
      </c>
      <c r="AE17" s="344"/>
      <c r="AF17" s="126"/>
      <c r="AG17" s="111"/>
      <c r="AH17" s="126"/>
    </row>
    <row r="18" spans="1:38" s="127" customFormat="1" ht="24.75" customHeight="1">
      <c r="A18" s="340" t="s">
        <v>248</v>
      </c>
      <c r="B18" s="341" t="s">
        <v>267</v>
      </c>
      <c r="C18" s="342">
        <f t="shared" si="8"/>
        <v>6871</v>
      </c>
      <c r="D18" s="342"/>
      <c r="E18" s="342">
        <f t="shared" si="9"/>
        <v>6871</v>
      </c>
      <c r="F18" s="342">
        <v>6871</v>
      </c>
      <c r="G18" s="342"/>
      <c r="H18" s="342"/>
      <c r="I18" s="342"/>
      <c r="J18" s="342"/>
      <c r="K18" s="342">
        <f t="shared" si="6"/>
        <v>0</v>
      </c>
      <c r="L18" s="342"/>
      <c r="M18" s="342"/>
      <c r="N18" s="342">
        <f t="shared" si="11"/>
        <v>7268.9339749999999</v>
      </c>
      <c r="O18" s="342"/>
      <c r="P18" s="343">
        <f t="shared" si="10"/>
        <v>7268.9339749999999</v>
      </c>
      <c r="Q18" s="343">
        <v>7268.9339749999999</v>
      </c>
      <c r="R18" s="342"/>
      <c r="S18" s="342"/>
      <c r="T18" s="342"/>
      <c r="U18" s="342">
        <f t="shared" si="7"/>
        <v>0</v>
      </c>
      <c r="V18" s="342"/>
      <c r="W18" s="342"/>
      <c r="X18" s="342"/>
      <c r="Y18" s="342"/>
      <c r="Z18" s="342"/>
      <c r="AA18" s="342"/>
      <c r="AB18" s="344">
        <f t="shared" si="2"/>
        <v>105.79150014553923</v>
      </c>
      <c r="AC18" s="344">
        <v>0</v>
      </c>
      <c r="AD18" s="344">
        <f t="shared" si="3"/>
        <v>105.79150014553923</v>
      </c>
      <c r="AE18" s="344"/>
      <c r="AF18" s="126"/>
      <c r="AG18" s="111"/>
      <c r="AH18" s="126"/>
    </row>
    <row r="19" spans="1:38" s="127" customFormat="1" ht="24.75" customHeight="1">
      <c r="A19" s="345" t="s">
        <v>249</v>
      </c>
      <c r="B19" s="346" t="s">
        <v>726</v>
      </c>
      <c r="C19" s="342">
        <f t="shared" si="8"/>
        <v>26756</v>
      </c>
      <c r="D19" s="342">
        <v>60</v>
      </c>
      <c r="E19" s="342">
        <f t="shared" si="9"/>
        <v>26696</v>
      </c>
      <c r="F19" s="342">
        <v>26696</v>
      </c>
      <c r="G19" s="342"/>
      <c r="H19" s="342"/>
      <c r="I19" s="342"/>
      <c r="J19" s="342"/>
      <c r="K19" s="342">
        <f t="shared" si="6"/>
        <v>0</v>
      </c>
      <c r="L19" s="342"/>
      <c r="M19" s="342"/>
      <c r="N19" s="342">
        <f t="shared" si="11"/>
        <v>74077.473856000011</v>
      </c>
      <c r="O19" s="342">
        <v>9.6</v>
      </c>
      <c r="P19" s="343">
        <f t="shared" si="10"/>
        <v>74067.873856000006</v>
      </c>
      <c r="Q19" s="347">
        <f>1049+67102.828056+3382.069+771.9768+1762</f>
        <v>74067.873856000006</v>
      </c>
      <c r="R19" s="342"/>
      <c r="S19" s="342"/>
      <c r="T19" s="342"/>
      <c r="U19" s="342">
        <f t="shared" si="7"/>
        <v>0</v>
      </c>
      <c r="V19" s="342"/>
      <c r="W19" s="342"/>
      <c r="X19" s="342"/>
      <c r="Y19" s="342"/>
      <c r="Z19" s="342"/>
      <c r="AA19" s="342"/>
      <c r="AB19" s="344">
        <f t="shared" si="2"/>
        <v>276.8630357901032</v>
      </c>
      <c r="AC19" s="344">
        <f t="shared" si="2"/>
        <v>16</v>
      </c>
      <c r="AD19" s="344">
        <f t="shared" si="3"/>
        <v>277.44933269403663</v>
      </c>
      <c r="AE19" s="344"/>
      <c r="AF19" s="126"/>
      <c r="AG19" s="111"/>
      <c r="AH19" s="126"/>
      <c r="AL19" s="128"/>
    </row>
    <row r="20" spans="1:38" s="127" customFormat="1" ht="24.75" customHeight="1">
      <c r="A20" s="340" t="s">
        <v>250</v>
      </c>
      <c r="B20" s="346" t="s">
        <v>669</v>
      </c>
      <c r="C20" s="342">
        <f t="shared" si="8"/>
        <v>9381</v>
      </c>
      <c r="D20" s="342">
        <v>121</v>
      </c>
      <c r="E20" s="342">
        <f t="shared" si="9"/>
        <v>9260</v>
      </c>
      <c r="F20" s="342">
        <v>9260</v>
      </c>
      <c r="G20" s="342"/>
      <c r="H20" s="342"/>
      <c r="I20" s="342"/>
      <c r="J20" s="342"/>
      <c r="K20" s="342">
        <f t="shared" si="6"/>
        <v>0</v>
      </c>
      <c r="L20" s="342"/>
      <c r="M20" s="342"/>
      <c r="N20" s="342">
        <f t="shared" si="11"/>
        <v>9151.2887800000008</v>
      </c>
      <c r="O20" s="342">
        <v>224.04399999999998</v>
      </c>
      <c r="P20" s="343">
        <f t="shared" si="10"/>
        <v>8783.4415800000006</v>
      </c>
      <c r="Q20" s="342">
        <f>6385.940722-4.8032+2541.304058-139</f>
        <v>8783.4415800000006</v>
      </c>
      <c r="R20" s="342"/>
      <c r="S20" s="342"/>
      <c r="T20" s="342"/>
      <c r="U20" s="342">
        <f t="shared" si="7"/>
        <v>143.8032</v>
      </c>
      <c r="V20" s="342"/>
      <c r="W20" s="342">
        <f>4.8032+139</f>
        <v>143.8032</v>
      </c>
      <c r="X20" s="342"/>
      <c r="Y20" s="342"/>
      <c r="Z20" s="342"/>
      <c r="AA20" s="342"/>
      <c r="AB20" s="344">
        <f t="shared" si="2"/>
        <v>97.551314145613475</v>
      </c>
      <c r="AC20" s="344">
        <f t="shared" si="2"/>
        <v>185.1603305785124</v>
      </c>
      <c r="AD20" s="344">
        <f t="shared" si="3"/>
        <v>94.853580777537815</v>
      </c>
      <c r="AE20" s="344"/>
      <c r="AF20" s="126"/>
      <c r="AG20" s="111"/>
      <c r="AH20" s="126"/>
    </row>
    <row r="21" spans="1:38" s="127" customFormat="1" ht="24.75" customHeight="1">
      <c r="A21" s="345" t="s">
        <v>251</v>
      </c>
      <c r="B21" s="346" t="s">
        <v>670</v>
      </c>
      <c r="C21" s="342">
        <f t="shared" si="8"/>
        <v>382256</v>
      </c>
      <c r="D21" s="342">
        <v>17368</v>
      </c>
      <c r="E21" s="342">
        <f t="shared" si="9"/>
        <v>364888</v>
      </c>
      <c r="F21" s="342">
        <v>364838</v>
      </c>
      <c r="G21" s="342"/>
      <c r="H21" s="342">
        <v>50</v>
      </c>
      <c r="I21" s="342"/>
      <c r="J21" s="342"/>
      <c r="K21" s="342">
        <f t="shared" si="6"/>
        <v>0</v>
      </c>
      <c r="L21" s="342"/>
      <c r="M21" s="342"/>
      <c r="N21" s="342">
        <f t="shared" si="11"/>
        <v>354590.46224999998</v>
      </c>
      <c r="O21" s="342">
        <v>19796.729953000002</v>
      </c>
      <c r="P21" s="343">
        <f t="shared" si="10"/>
        <v>334743.23229700001</v>
      </c>
      <c r="Q21" s="342">
        <f>10713.922+12120.600554+5692.584+14372.269138+11300.135076+12757.480578+5199.464704+7948.494+12910.5105+6261.2045+11636.0425+18124.454771+11715.235+27600.182539-50.5+14295.685815+17460.661+16547.789+13403.494314+12874.51+8960.192+7101.697+4596.377+10104.880998+12512.059372+9741.9181+9271.110034+4150.043+4431.186+2762.096501+6903.172+11324.280303</f>
        <v>334743.23229700001</v>
      </c>
      <c r="R21" s="342"/>
      <c r="S21" s="342"/>
      <c r="T21" s="342"/>
      <c r="U21" s="342">
        <f t="shared" si="7"/>
        <v>50.5</v>
      </c>
      <c r="V21" s="342"/>
      <c r="W21" s="342">
        <v>50.5</v>
      </c>
      <c r="X21" s="342"/>
      <c r="Y21" s="342"/>
      <c r="Z21" s="342"/>
      <c r="AA21" s="342"/>
      <c r="AB21" s="344">
        <f t="shared" si="2"/>
        <v>92.76256285055041</v>
      </c>
      <c r="AC21" s="344">
        <f t="shared" si="2"/>
        <v>113.98393570359282</v>
      </c>
      <c r="AD21" s="344">
        <f t="shared" si="3"/>
        <v>91.738624536022016</v>
      </c>
      <c r="AE21" s="344"/>
      <c r="AF21" s="126"/>
      <c r="AG21" s="111"/>
      <c r="AH21" s="126"/>
    </row>
    <row r="22" spans="1:38" s="127" customFormat="1" ht="24.75" customHeight="1">
      <c r="A22" s="340" t="s">
        <v>255</v>
      </c>
      <c r="B22" s="346" t="s">
        <v>220</v>
      </c>
      <c r="C22" s="342">
        <f t="shared" si="8"/>
        <v>283176</v>
      </c>
      <c r="D22" s="342">
        <v>22122</v>
      </c>
      <c r="E22" s="342">
        <f t="shared" si="9"/>
        <v>261054</v>
      </c>
      <c r="F22" s="342">
        <v>261054</v>
      </c>
      <c r="G22" s="342"/>
      <c r="H22" s="342"/>
      <c r="I22" s="342"/>
      <c r="J22" s="342"/>
      <c r="K22" s="342">
        <f t="shared" si="6"/>
        <v>0</v>
      </c>
      <c r="L22" s="342"/>
      <c r="M22" s="342"/>
      <c r="N22" s="342">
        <f t="shared" si="11"/>
        <v>349551.85693100002</v>
      </c>
      <c r="O22" s="342">
        <v>45135.283832000001</v>
      </c>
      <c r="P22" s="343">
        <f t="shared" si="10"/>
        <v>301266.07205800002</v>
      </c>
      <c r="Q22" s="342">
        <f>198+2603.52+1112.068+20740.292406-321.865+20584.665621-50.59314+3481.789645+18240.537906-190.437432+26033.748354-201.071408+20088.265514-285.510336+24445.685206-134.863108+19995.23765-246.309163+36147.293865-765.86423+14481.758605-176.5485+15639.058472-153.339804+20640.4578-271.919+2751.79-264.89+16362.583432+2182.316193+12902.660257+9133.787-87.28992+2257.9+500+3479.640435</f>
        <v>290852.55532000004</v>
      </c>
      <c r="R22" s="342">
        <v>10413.516738</v>
      </c>
      <c r="S22" s="342"/>
      <c r="T22" s="342"/>
      <c r="U22" s="342">
        <f t="shared" si="7"/>
        <v>3150.501041</v>
      </c>
      <c r="V22" s="342"/>
      <c r="W22" s="342">
        <f>321.865+50.59314+190.437432+201.071408+285.510336+134.863108+246.309163+765.86423+176.5485+153.339804+271.919+264.89+87.28992</f>
        <v>3150.501041</v>
      </c>
      <c r="X22" s="342"/>
      <c r="Y22" s="342"/>
      <c r="Z22" s="342"/>
      <c r="AA22" s="342"/>
      <c r="AB22" s="344">
        <f t="shared" si="2"/>
        <v>123.43978901142752</v>
      </c>
      <c r="AC22" s="344">
        <f t="shared" si="2"/>
        <v>204.02894779857155</v>
      </c>
      <c r="AD22" s="344">
        <f t="shared" si="3"/>
        <v>115.40373718004705</v>
      </c>
      <c r="AE22" s="344"/>
      <c r="AF22" s="126"/>
      <c r="AG22" s="111"/>
      <c r="AH22" s="126"/>
    </row>
    <row r="23" spans="1:38" s="127" customFormat="1" ht="24.75" customHeight="1">
      <c r="A23" s="345" t="s">
        <v>256</v>
      </c>
      <c r="B23" s="346" t="s">
        <v>722</v>
      </c>
      <c r="C23" s="342">
        <f t="shared" si="8"/>
        <v>81625</v>
      </c>
      <c r="D23" s="342">
        <v>28000</v>
      </c>
      <c r="E23" s="342">
        <f t="shared" si="9"/>
        <v>53625</v>
      </c>
      <c r="F23" s="342">
        <v>53575</v>
      </c>
      <c r="G23" s="342"/>
      <c r="H23" s="342">
        <v>50</v>
      </c>
      <c r="I23" s="342"/>
      <c r="J23" s="342"/>
      <c r="K23" s="342">
        <f t="shared" si="6"/>
        <v>0</v>
      </c>
      <c r="L23" s="342"/>
      <c r="M23" s="342"/>
      <c r="N23" s="342">
        <f t="shared" si="11"/>
        <v>90894.526602999991</v>
      </c>
      <c r="O23" s="342">
        <v>34609.872302999996</v>
      </c>
      <c r="P23" s="343">
        <f t="shared" si="10"/>
        <v>54321.116750000008</v>
      </c>
      <c r="Q23" s="342">
        <f>2810+7328.340291-442.99295+15900.7609-976.231+11008.47+17048.440909-394.3844+2188.6422-149.9292</f>
        <v>54321.116750000008</v>
      </c>
      <c r="R23" s="342"/>
      <c r="S23" s="342"/>
      <c r="T23" s="342"/>
      <c r="U23" s="342">
        <f t="shared" si="7"/>
        <v>1963.53755</v>
      </c>
      <c r="V23" s="342"/>
      <c r="W23" s="342">
        <f>442.99295+976.231+394.3844+149.9292</f>
        <v>1963.53755</v>
      </c>
      <c r="X23" s="342"/>
      <c r="Y23" s="342"/>
      <c r="Z23" s="342"/>
      <c r="AA23" s="342"/>
      <c r="AB23" s="344">
        <f t="shared" si="2"/>
        <v>111.35623473568145</v>
      </c>
      <c r="AC23" s="344"/>
      <c r="AD23" s="344">
        <f t="shared" si="3"/>
        <v>101.29811981351983</v>
      </c>
      <c r="AE23" s="344"/>
      <c r="AF23" s="126"/>
      <c r="AG23" s="111"/>
      <c r="AH23" s="126"/>
    </row>
    <row r="24" spans="1:38" s="127" customFormat="1" ht="24" customHeight="1">
      <c r="A24" s="340" t="s">
        <v>257</v>
      </c>
      <c r="B24" s="346" t="s">
        <v>671</v>
      </c>
      <c r="C24" s="342">
        <f t="shared" si="8"/>
        <v>294068</v>
      </c>
      <c r="D24" s="342"/>
      <c r="E24" s="342">
        <f t="shared" si="9"/>
        <v>294068</v>
      </c>
      <c r="F24" s="342">
        <v>294068</v>
      </c>
      <c r="G24" s="342"/>
      <c r="H24" s="342"/>
      <c r="I24" s="342"/>
      <c r="J24" s="342"/>
      <c r="K24" s="342">
        <f t="shared" si="6"/>
        <v>0</v>
      </c>
      <c r="L24" s="342"/>
      <c r="M24" s="342"/>
      <c r="N24" s="342">
        <f t="shared" si="11"/>
        <v>267001.22110900003</v>
      </c>
      <c r="O24" s="342"/>
      <c r="P24" s="343">
        <f t="shared" si="10"/>
        <v>266266.31071300001</v>
      </c>
      <c r="Q24" s="342">
        <f>1850.831817-244.28691+9915.056598+13411.685061-490.623486</f>
        <v>24442.663079999998</v>
      </c>
      <c r="R24" s="342">
        <v>241823.64763299999</v>
      </c>
      <c r="S24" s="342"/>
      <c r="T24" s="342"/>
      <c r="U24" s="342">
        <f t="shared" si="7"/>
        <v>734.91039599999999</v>
      </c>
      <c r="V24" s="342"/>
      <c r="W24" s="342">
        <f>244.28691+490.623486</f>
        <v>734.91039599999999</v>
      </c>
      <c r="X24" s="342"/>
      <c r="Y24" s="342"/>
      <c r="Z24" s="342"/>
      <c r="AA24" s="342"/>
      <c r="AB24" s="344">
        <f t="shared" si="2"/>
        <v>90.795741498224913</v>
      </c>
      <c r="AC24" s="344">
        <v>0</v>
      </c>
      <c r="AD24" s="344">
        <f t="shared" si="3"/>
        <v>90.54582977848662</v>
      </c>
      <c r="AE24" s="344"/>
      <c r="AF24" s="126"/>
      <c r="AG24" s="111"/>
      <c r="AH24" s="126"/>
    </row>
    <row r="25" spans="1:38" s="127" customFormat="1" ht="24.75" customHeight="1">
      <c r="A25" s="345" t="s">
        <v>258</v>
      </c>
      <c r="B25" s="346" t="s">
        <v>672</v>
      </c>
      <c r="C25" s="342">
        <f t="shared" si="8"/>
        <v>9522</v>
      </c>
      <c r="D25" s="342"/>
      <c r="E25" s="342">
        <f t="shared" si="9"/>
        <v>9522</v>
      </c>
      <c r="F25" s="342">
        <v>9482</v>
      </c>
      <c r="G25" s="342"/>
      <c r="H25" s="342">
        <v>40</v>
      </c>
      <c r="I25" s="342"/>
      <c r="J25" s="342"/>
      <c r="K25" s="342">
        <f t="shared" si="6"/>
        <v>0</v>
      </c>
      <c r="L25" s="342"/>
      <c r="M25" s="342"/>
      <c r="N25" s="342">
        <f t="shared" si="11"/>
        <v>9034.2178640000002</v>
      </c>
      <c r="O25" s="342"/>
      <c r="P25" s="343">
        <f t="shared" si="10"/>
        <v>9010.2178640000002</v>
      </c>
      <c r="Q25" s="342">
        <f>1608-24+6851.817864+574.4</f>
        <v>9010.2178640000002</v>
      </c>
      <c r="R25" s="342"/>
      <c r="S25" s="342"/>
      <c r="T25" s="342"/>
      <c r="U25" s="342">
        <f t="shared" si="7"/>
        <v>24</v>
      </c>
      <c r="V25" s="342"/>
      <c r="W25" s="342">
        <v>24</v>
      </c>
      <c r="X25" s="342"/>
      <c r="Y25" s="342"/>
      <c r="Z25" s="342"/>
      <c r="AA25" s="342"/>
      <c r="AB25" s="344">
        <f t="shared" si="2"/>
        <v>94.877314261709728</v>
      </c>
      <c r="AC25" s="344">
        <v>0</v>
      </c>
      <c r="AD25" s="344">
        <f t="shared" si="3"/>
        <v>94.625266372610795</v>
      </c>
      <c r="AE25" s="344"/>
      <c r="AF25" s="126"/>
      <c r="AG25" s="111"/>
      <c r="AH25" s="126"/>
    </row>
    <row r="26" spans="1:38" s="127" customFormat="1" ht="24.75" customHeight="1">
      <c r="A26" s="340" t="s">
        <v>259</v>
      </c>
      <c r="B26" s="346" t="s">
        <v>673</v>
      </c>
      <c r="C26" s="342">
        <f t="shared" si="8"/>
        <v>152024</v>
      </c>
      <c r="D26" s="342">
        <v>75000</v>
      </c>
      <c r="E26" s="342">
        <f t="shared" si="9"/>
        <v>77024</v>
      </c>
      <c r="F26" s="342">
        <v>76969</v>
      </c>
      <c r="G26" s="342"/>
      <c r="H26" s="342">
        <v>55</v>
      </c>
      <c r="I26" s="342"/>
      <c r="J26" s="342"/>
      <c r="K26" s="342">
        <f t="shared" si="6"/>
        <v>0</v>
      </c>
      <c r="L26" s="342"/>
      <c r="M26" s="342"/>
      <c r="N26" s="342">
        <f t="shared" si="11"/>
        <v>192598.75335399999</v>
      </c>
      <c r="O26" s="342">
        <v>125937.831143</v>
      </c>
      <c r="P26" s="343">
        <f t="shared" si="10"/>
        <v>66652.922210999997</v>
      </c>
      <c r="Q26" s="342"/>
      <c r="R26" s="342">
        <f>66660.922211-8</f>
        <v>66652.922210999997</v>
      </c>
      <c r="S26" s="342"/>
      <c r="T26" s="342"/>
      <c r="U26" s="342">
        <f t="shared" si="7"/>
        <v>8</v>
      </c>
      <c r="V26" s="342"/>
      <c r="W26" s="342">
        <v>8</v>
      </c>
      <c r="X26" s="342"/>
      <c r="Y26" s="342"/>
      <c r="Z26" s="342"/>
      <c r="AA26" s="342"/>
      <c r="AB26" s="344">
        <f t="shared" si="2"/>
        <v>126.68970251670788</v>
      </c>
      <c r="AC26" s="344">
        <f t="shared" si="2"/>
        <v>167.91710819066668</v>
      </c>
      <c r="AD26" s="344">
        <f t="shared" si="3"/>
        <v>86.535264607135431</v>
      </c>
      <c r="AE26" s="344"/>
      <c r="AF26" s="126"/>
      <c r="AG26" s="111"/>
      <c r="AH26" s="126"/>
    </row>
    <row r="27" spans="1:38" s="127" customFormat="1" ht="24.75" customHeight="1">
      <c r="A27" s="345" t="s">
        <v>260</v>
      </c>
      <c r="B27" s="346" t="s">
        <v>674</v>
      </c>
      <c r="C27" s="342">
        <f t="shared" si="8"/>
        <v>33333</v>
      </c>
      <c r="D27" s="342">
        <v>12900</v>
      </c>
      <c r="E27" s="342">
        <f t="shared" si="9"/>
        <v>20433</v>
      </c>
      <c r="F27" s="342">
        <v>19433</v>
      </c>
      <c r="G27" s="342"/>
      <c r="H27" s="342">
        <v>1000</v>
      </c>
      <c r="I27" s="342"/>
      <c r="J27" s="342"/>
      <c r="K27" s="342">
        <f t="shared" si="6"/>
        <v>0</v>
      </c>
      <c r="L27" s="342"/>
      <c r="M27" s="342"/>
      <c r="N27" s="342">
        <f t="shared" si="11"/>
        <v>19039.100151999999</v>
      </c>
      <c r="O27" s="342">
        <v>3917.049591</v>
      </c>
      <c r="P27" s="343">
        <f t="shared" si="10"/>
        <v>15122.050561</v>
      </c>
      <c r="Q27" s="342">
        <f>13067.136933+2054.913628</f>
        <v>15122.050561</v>
      </c>
      <c r="R27" s="342"/>
      <c r="S27" s="342"/>
      <c r="T27" s="342"/>
      <c r="U27" s="342">
        <f t="shared" si="7"/>
        <v>0</v>
      </c>
      <c r="V27" s="342"/>
      <c r="W27" s="342"/>
      <c r="X27" s="342"/>
      <c r="Y27" s="342"/>
      <c r="Z27" s="342"/>
      <c r="AA27" s="342"/>
      <c r="AB27" s="344">
        <f t="shared" ref="AB27:AC77" si="12">N27/C27%</f>
        <v>57.117871634716344</v>
      </c>
      <c r="AC27" s="344"/>
      <c r="AD27" s="344">
        <f t="shared" si="3"/>
        <v>74.007980037194727</v>
      </c>
      <c r="AE27" s="344"/>
      <c r="AF27" s="126"/>
      <c r="AG27" s="111"/>
      <c r="AH27" s="126"/>
    </row>
    <row r="28" spans="1:38" s="127" customFormat="1" ht="24.75" customHeight="1">
      <c r="A28" s="340" t="s">
        <v>261</v>
      </c>
      <c r="B28" s="346" t="s">
        <v>675</v>
      </c>
      <c r="C28" s="342">
        <f t="shared" si="8"/>
        <v>11634</v>
      </c>
      <c r="D28" s="342"/>
      <c r="E28" s="342">
        <f t="shared" si="9"/>
        <v>11634</v>
      </c>
      <c r="F28" s="342">
        <v>11504</v>
      </c>
      <c r="G28" s="342"/>
      <c r="H28" s="342">
        <v>130</v>
      </c>
      <c r="I28" s="342"/>
      <c r="J28" s="342"/>
      <c r="K28" s="342">
        <f t="shared" si="6"/>
        <v>0</v>
      </c>
      <c r="L28" s="342"/>
      <c r="M28" s="342"/>
      <c r="N28" s="342">
        <f t="shared" si="11"/>
        <v>8632.8559999999998</v>
      </c>
      <c r="O28" s="342"/>
      <c r="P28" s="343">
        <f t="shared" si="10"/>
        <v>8608.8559999999998</v>
      </c>
      <c r="Q28" s="342">
        <f>7389.856-24+335+248+660</f>
        <v>8608.8559999999998</v>
      </c>
      <c r="R28" s="342"/>
      <c r="S28" s="342"/>
      <c r="T28" s="342"/>
      <c r="U28" s="342">
        <f t="shared" si="7"/>
        <v>24</v>
      </c>
      <c r="V28" s="342"/>
      <c r="W28" s="342">
        <v>24</v>
      </c>
      <c r="X28" s="342"/>
      <c r="Y28" s="342"/>
      <c r="Z28" s="342"/>
      <c r="AA28" s="342"/>
      <c r="AB28" s="344">
        <f t="shared" si="12"/>
        <v>74.203678872270928</v>
      </c>
      <c r="AC28" s="344">
        <v>0</v>
      </c>
      <c r="AD28" s="344">
        <f t="shared" si="3"/>
        <v>73.997386969228117</v>
      </c>
      <c r="AE28" s="344"/>
      <c r="AF28" s="126"/>
      <c r="AG28" s="111"/>
      <c r="AH28" s="126"/>
    </row>
    <row r="29" spans="1:38" s="127" customFormat="1" ht="24.75" customHeight="1">
      <c r="A29" s="345" t="s">
        <v>269</v>
      </c>
      <c r="B29" s="346" t="s">
        <v>289</v>
      </c>
      <c r="C29" s="342">
        <f t="shared" si="8"/>
        <v>18463</v>
      </c>
      <c r="D29" s="342">
        <v>100</v>
      </c>
      <c r="E29" s="342">
        <f t="shared" si="9"/>
        <v>18363</v>
      </c>
      <c r="F29" s="342">
        <v>18323</v>
      </c>
      <c r="G29" s="342"/>
      <c r="H29" s="342">
        <v>40</v>
      </c>
      <c r="I29" s="342"/>
      <c r="J29" s="342"/>
      <c r="K29" s="342">
        <f t="shared" si="6"/>
        <v>0</v>
      </c>
      <c r="L29" s="342"/>
      <c r="M29" s="342"/>
      <c r="N29" s="342">
        <f t="shared" si="11"/>
        <v>24174.636032000002</v>
      </c>
      <c r="O29" s="342">
        <v>98</v>
      </c>
      <c r="P29" s="343">
        <f t="shared" si="10"/>
        <v>23680.219832000002</v>
      </c>
      <c r="Q29" s="343">
        <f>22875.936032-396.4162+1200.7</f>
        <v>23680.219832000002</v>
      </c>
      <c r="R29" s="342"/>
      <c r="S29" s="342"/>
      <c r="T29" s="342"/>
      <c r="U29" s="342">
        <f t="shared" si="7"/>
        <v>396.4162</v>
      </c>
      <c r="V29" s="342"/>
      <c r="W29" s="342">
        <v>396.4162</v>
      </c>
      <c r="X29" s="342"/>
      <c r="Y29" s="342"/>
      <c r="Z29" s="342"/>
      <c r="AA29" s="342"/>
      <c r="AB29" s="344">
        <f t="shared" si="12"/>
        <v>130.93557943996103</v>
      </c>
      <c r="AC29" s="344">
        <f t="shared" si="12"/>
        <v>98</v>
      </c>
      <c r="AD29" s="344">
        <f t="shared" si="3"/>
        <v>128.95616093230956</v>
      </c>
      <c r="AE29" s="344"/>
      <c r="AF29" s="126"/>
      <c r="AG29" s="111"/>
      <c r="AH29" s="126"/>
    </row>
    <row r="30" spans="1:38" s="127" customFormat="1" ht="24.75" customHeight="1">
      <c r="A30" s="340" t="s">
        <v>270</v>
      </c>
      <c r="B30" s="346" t="s">
        <v>676</v>
      </c>
      <c r="C30" s="342">
        <f t="shared" si="8"/>
        <v>180023.11300000001</v>
      </c>
      <c r="D30" s="342">
        <f>217799-51235.887</f>
        <v>166563.11300000001</v>
      </c>
      <c r="E30" s="342">
        <f t="shared" si="9"/>
        <v>13460</v>
      </c>
      <c r="F30" s="342">
        <v>13460</v>
      </c>
      <c r="G30" s="342"/>
      <c r="H30" s="342"/>
      <c r="I30" s="342"/>
      <c r="J30" s="342"/>
      <c r="K30" s="342">
        <f t="shared" si="6"/>
        <v>0</v>
      </c>
      <c r="L30" s="342"/>
      <c r="M30" s="342"/>
      <c r="N30" s="342">
        <f t="shared" si="11"/>
        <v>243090.370115</v>
      </c>
      <c r="O30" s="342">
        <v>230005.93015199999</v>
      </c>
      <c r="P30" s="343">
        <f t="shared" si="10"/>
        <v>13084.439962999999</v>
      </c>
      <c r="Q30" s="342">
        <f>11842.721+1241.718963</f>
        <v>13084.439962999999</v>
      </c>
      <c r="R30" s="342"/>
      <c r="S30" s="342"/>
      <c r="T30" s="342"/>
      <c r="U30" s="342">
        <f t="shared" si="7"/>
        <v>0</v>
      </c>
      <c r="V30" s="342"/>
      <c r="W30" s="342"/>
      <c r="X30" s="342"/>
      <c r="Y30" s="342"/>
      <c r="Z30" s="342"/>
      <c r="AA30" s="342"/>
      <c r="AB30" s="344">
        <f t="shared" si="12"/>
        <v>135.03286664918409</v>
      </c>
      <c r="AC30" s="344">
        <f t="shared" si="12"/>
        <v>138.08935604607723</v>
      </c>
      <c r="AD30" s="344">
        <f t="shared" si="3"/>
        <v>97.209806560178308</v>
      </c>
      <c r="AE30" s="344"/>
      <c r="AF30" s="126"/>
      <c r="AG30" s="111"/>
      <c r="AH30" s="126"/>
    </row>
    <row r="31" spans="1:38" s="127" customFormat="1" ht="24.75" customHeight="1">
      <c r="A31" s="345" t="s">
        <v>400</v>
      </c>
      <c r="B31" s="346" t="s">
        <v>227</v>
      </c>
      <c r="C31" s="342">
        <f t="shared" si="8"/>
        <v>23996</v>
      </c>
      <c r="D31" s="342">
        <v>10000</v>
      </c>
      <c r="E31" s="342">
        <f t="shared" si="9"/>
        <v>13996</v>
      </c>
      <c r="F31" s="342">
        <v>13996</v>
      </c>
      <c r="G31" s="342"/>
      <c r="H31" s="342"/>
      <c r="I31" s="342"/>
      <c r="J31" s="342"/>
      <c r="K31" s="342">
        <f t="shared" si="6"/>
        <v>0</v>
      </c>
      <c r="L31" s="342"/>
      <c r="M31" s="342"/>
      <c r="N31" s="342">
        <f t="shared" si="11"/>
        <v>22973.522837999997</v>
      </c>
      <c r="O31" s="342">
        <v>2101.658668</v>
      </c>
      <c r="P31" s="343">
        <f t="shared" si="10"/>
        <v>20484.768169999996</v>
      </c>
      <c r="Q31" s="342">
        <f>18111.218199-387.096+2760.645971</f>
        <v>20484.768169999996</v>
      </c>
      <c r="R31" s="342"/>
      <c r="S31" s="342"/>
      <c r="T31" s="342"/>
      <c r="U31" s="342">
        <f t="shared" si="7"/>
        <v>387.096</v>
      </c>
      <c r="V31" s="342"/>
      <c r="W31" s="342">
        <v>387.096</v>
      </c>
      <c r="X31" s="342"/>
      <c r="Y31" s="342"/>
      <c r="Z31" s="342"/>
      <c r="AA31" s="342"/>
      <c r="AB31" s="344">
        <f t="shared" si="12"/>
        <v>95.738968319719945</v>
      </c>
      <c r="AC31" s="344"/>
      <c r="AD31" s="344">
        <f t="shared" si="3"/>
        <v>146.36159024006855</v>
      </c>
      <c r="AE31" s="344"/>
      <c r="AF31" s="126"/>
      <c r="AG31" s="111"/>
      <c r="AH31" s="126"/>
    </row>
    <row r="32" spans="1:38" s="127" customFormat="1" ht="24.75" customHeight="1">
      <c r="A32" s="340" t="s">
        <v>401</v>
      </c>
      <c r="B32" s="346" t="s">
        <v>677</v>
      </c>
      <c r="C32" s="342">
        <f t="shared" si="8"/>
        <v>30774</v>
      </c>
      <c r="D32" s="342">
        <v>20000</v>
      </c>
      <c r="E32" s="342">
        <f t="shared" si="9"/>
        <v>10774</v>
      </c>
      <c r="F32" s="342">
        <v>10774</v>
      </c>
      <c r="G32" s="342"/>
      <c r="H32" s="342"/>
      <c r="I32" s="342"/>
      <c r="J32" s="342"/>
      <c r="K32" s="342">
        <f t="shared" si="6"/>
        <v>0</v>
      </c>
      <c r="L32" s="342"/>
      <c r="M32" s="342"/>
      <c r="N32" s="342">
        <f t="shared" si="11"/>
        <v>21085.863165999999</v>
      </c>
      <c r="O32" s="342">
        <v>6218.2613979999996</v>
      </c>
      <c r="P32" s="343">
        <f t="shared" si="10"/>
        <v>9797.2457800000011</v>
      </c>
      <c r="Q32" s="342">
        <f>14867.601768-5070.355988</f>
        <v>9797.2457800000011</v>
      </c>
      <c r="R32" s="342"/>
      <c r="S32" s="342"/>
      <c r="T32" s="342"/>
      <c r="U32" s="342">
        <f t="shared" si="7"/>
        <v>5070.3559880000003</v>
      </c>
      <c r="V32" s="342"/>
      <c r="W32" s="342">
        <v>5070.3559880000003</v>
      </c>
      <c r="X32" s="342"/>
      <c r="Y32" s="342"/>
      <c r="Z32" s="342"/>
      <c r="AA32" s="342"/>
      <c r="AB32" s="344">
        <f t="shared" si="12"/>
        <v>68.518434932085526</v>
      </c>
      <c r="AC32" s="344"/>
      <c r="AD32" s="344">
        <f t="shared" si="3"/>
        <v>90.934154260256193</v>
      </c>
      <c r="AE32" s="344"/>
      <c r="AF32" s="126"/>
      <c r="AG32" s="111"/>
      <c r="AH32" s="126"/>
    </row>
    <row r="33" spans="1:34" s="127" customFormat="1" ht="24.75" customHeight="1">
      <c r="A33" s="345" t="s">
        <v>402</v>
      </c>
      <c r="B33" s="346" t="s">
        <v>678</v>
      </c>
      <c r="C33" s="342">
        <f t="shared" si="8"/>
        <v>41908</v>
      </c>
      <c r="D33" s="342">
        <v>5000</v>
      </c>
      <c r="E33" s="342">
        <f t="shared" si="9"/>
        <v>36908</v>
      </c>
      <c r="F33" s="342">
        <v>36908</v>
      </c>
      <c r="G33" s="342"/>
      <c r="H33" s="342"/>
      <c r="I33" s="342"/>
      <c r="J33" s="342"/>
      <c r="K33" s="342">
        <f t="shared" si="6"/>
        <v>0</v>
      </c>
      <c r="L33" s="342"/>
      <c r="M33" s="342"/>
      <c r="N33" s="342">
        <f t="shared" si="11"/>
        <v>60514.746218</v>
      </c>
      <c r="O33" s="342">
        <v>9425.8744999999999</v>
      </c>
      <c r="P33" s="343">
        <f t="shared" si="10"/>
        <v>39855.344286</v>
      </c>
      <c r="Q33" s="342">
        <f>47834.871718-7979.527432</f>
        <v>39855.344286</v>
      </c>
      <c r="R33" s="342"/>
      <c r="S33" s="342"/>
      <c r="T33" s="342"/>
      <c r="U33" s="342">
        <f t="shared" si="7"/>
        <v>11233.527431999999</v>
      </c>
      <c r="V33" s="342">
        <v>3254</v>
      </c>
      <c r="W33" s="342">
        <v>7979.5274319999999</v>
      </c>
      <c r="X33" s="342"/>
      <c r="Y33" s="342"/>
      <c r="Z33" s="342"/>
      <c r="AA33" s="342"/>
      <c r="AB33" s="344">
        <f t="shared" si="12"/>
        <v>144.39903173141167</v>
      </c>
      <c r="AC33" s="344"/>
      <c r="AD33" s="344">
        <f t="shared" si="3"/>
        <v>107.98565158231278</v>
      </c>
      <c r="AE33" s="344"/>
      <c r="AF33" s="126"/>
      <c r="AG33" s="111"/>
      <c r="AH33" s="126"/>
    </row>
    <row r="34" spans="1:34" s="127" customFormat="1" ht="24.75" customHeight="1">
      <c r="A34" s="340" t="s">
        <v>403</v>
      </c>
      <c r="B34" s="346" t="s">
        <v>679</v>
      </c>
      <c r="C34" s="342">
        <f t="shared" si="8"/>
        <v>14884</v>
      </c>
      <c r="D34" s="342">
        <v>6000</v>
      </c>
      <c r="E34" s="342">
        <f t="shared" si="9"/>
        <v>8884</v>
      </c>
      <c r="F34" s="342">
        <v>8884</v>
      </c>
      <c r="G34" s="342"/>
      <c r="H34" s="342"/>
      <c r="I34" s="342"/>
      <c r="J34" s="342"/>
      <c r="K34" s="342">
        <f t="shared" si="6"/>
        <v>0</v>
      </c>
      <c r="L34" s="342"/>
      <c r="M34" s="342"/>
      <c r="N34" s="342">
        <f t="shared" si="11"/>
        <v>18098.433181</v>
      </c>
      <c r="O34" s="342">
        <v>9652.17</v>
      </c>
      <c r="P34" s="343">
        <f t="shared" si="10"/>
        <v>8446.2631810000003</v>
      </c>
      <c r="Q34" s="342">
        <v>8446.2631810000003</v>
      </c>
      <c r="R34" s="342"/>
      <c r="S34" s="342"/>
      <c r="T34" s="342"/>
      <c r="U34" s="342">
        <f t="shared" si="7"/>
        <v>0</v>
      </c>
      <c r="V34" s="342"/>
      <c r="W34" s="342"/>
      <c r="X34" s="342"/>
      <c r="Y34" s="342"/>
      <c r="Z34" s="342"/>
      <c r="AA34" s="342"/>
      <c r="AB34" s="344">
        <f t="shared" si="12"/>
        <v>121.59656799919377</v>
      </c>
      <c r="AC34" s="344"/>
      <c r="AD34" s="344">
        <f t="shared" si="3"/>
        <v>95.072750799189549</v>
      </c>
      <c r="AE34" s="344"/>
      <c r="AF34" s="126"/>
      <c r="AG34" s="111"/>
      <c r="AH34" s="126"/>
    </row>
    <row r="35" spans="1:34" s="127" customFormat="1" ht="24.75" customHeight="1">
      <c r="A35" s="345" t="s">
        <v>404</v>
      </c>
      <c r="B35" s="346" t="s">
        <v>680</v>
      </c>
      <c r="C35" s="342">
        <f t="shared" si="8"/>
        <v>18656</v>
      </c>
      <c r="D35" s="342">
        <v>250</v>
      </c>
      <c r="E35" s="342">
        <f t="shared" si="9"/>
        <v>18406</v>
      </c>
      <c r="F35" s="342">
        <v>18336</v>
      </c>
      <c r="G35" s="342"/>
      <c r="H35" s="342">
        <v>70</v>
      </c>
      <c r="I35" s="342"/>
      <c r="J35" s="342"/>
      <c r="K35" s="342">
        <f t="shared" si="6"/>
        <v>0</v>
      </c>
      <c r="L35" s="342"/>
      <c r="M35" s="342"/>
      <c r="N35" s="342">
        <f t="shared" si="11"/>
        <v>18159.357673999999</v>
      </c>
      <c r="O35" s="342">
        <v>189.78609199999988</v>
      </c>
      <c r="P35" s="343">
        <f t="shared" si="10"/>
        <v>17969.571582</v>
      </c>
      <c r="Q35" s="342">
        <v>17969.571582</v>
      </c>
      <c r="R35" s="342"/>
      <c r="S35" s="342"/>
      <c r="T35" s="342"/>
      <c r="U35" s="342"/>
      <c r="V35" s="342"/>
      <c r="W35" s="342"/>
      <c r="X35" s="342"/>
      <c r="Y35" s="342"/>
      <c r="Z35" s="342"/>
      <c r="AA35" s="342"/>
      <c r="AB35" s="344">
        <f t="shared" si="12"/>
        <v>97.337894907804454</v>
      </c>
      <c r="AC35" s="344">
        <f t="shared" si="12"/>
        <v>75.914436799999947</v>
      </c>
      <c r="AD35" s="344">
        <f t="shared" si="3"/>
        <v>97.628879615342825</v>
      </c>
      <c r="AE35" s="344"/>
      <c r="AF35" s="126"/>
      <c r="AG35" s="111"/>
      <c r="AH35" s="126"/>
    </row>
    <row r="36" spans="1:34" s="127" customFormat="1" ht="24.75" customHeight="1">
      <c r="A36" s="340" t="s">
        <v>405</v>
      </c>
      <c r="B36" s="346" t="s">
        <v>681</v>
      </c>
      <c r="C36" s="342">
        <f t="shared" si="8"/>
        <v>4829</v>
      </c>
      <c r="D36" s="342"/>
      <c r="E36" s="342">
        <f t="shared" si="9"/>
        <v>4829</v>
      </c>
      <c r="F36" s="342">
        <v>4829</v>
      </c>
      <c r="G36" s="342"/>
      <c r="H36" s="342"/>
      <c r="I36" s="342"/>
      <c r="J36" s="342"/>
      <c r="K36" s="342">
        <f t="shared" si="6"/>
        <v>0</v>
      </c>
      <c r="L36" s="342"/>
      <c r="M36" s="342"/>
      <c r="N36" s="342">
        <f t="shared" si="11"/>
        <v>4305</v>
      </c>
      <c r="O36" s="342"/>
      <c r="P36" s="343">
        <f t="shared" si="10"/>
        <v>4305</v>
      </c>
      <c r="Q36" s="342">
        <v>4305</v>
      </c>
      <c r="R36" s="342"/>
      <c r="S36" s="342"/>
      <c r="T36" s="342"/>
      <c r="U36" s="342">
        <f>V36+W36</f>
        <v>0</v>
      </c>
      <c r="V36" s="342"/>
      <c r="W36" s="342"/>
      <c r="X36" s="342"/>
      <c r="Y36" s="342"/>
      <c r="Z36" s="342"/>
      <c r="AA36" s="342"/>
      <c r="AB36" s="344">
        <f t="shared" si="12"/>
        <v>89.148892110167736</v>
      </c>
      <c r="AC36" s="344"/>
      <c r="AD36" s="344">
        <f t="shared" si="3"/>
        <v>89.148892110167736</v>
      </c>
      <c r="AE36" s="344"/>
      <c r="AF36" s="126"/>
      <c r="AG36" s="111"/>
      <c r="AH36" s="126"/>
    </row>
    <row r="37" spans="1:34" s="127" customFormat="1" ht="24.75" customHeight="1">
      <c r="A37" s="345" t="s">
        <v>406</v>
      </c>
      <c r="B37" s="346" t="s">
        <v>228</v>
      </c>
      <c r="C37" s="342">
        <f t="shared" si="8"/>
        <v>6698</v>
      </c>
      <c r="D37" s="342"/>
      <c r="E37" s="342">
        <f t="shared" si="9"/>
        <v>6698</v>
      </c>
      <c r="F37" s="342">
        <v>6698</v>
      </c>
      <c r="G37" s="342"/>
      <c r="H37" s="342"/>
      <c r="I37" s="342"/>
      <c r="J37" s="342"/>
      <c r="K37" s="342">
        <f t="shared" si="6"/>
        <v>0</v>
      </c>
      <c r="L37" s="342"/>
      <c r="M37" s="342"/>
      <c r="N37" s="342">
        <f t="shared" si="11"/>
        <v>14255.653918</v>
      </c>
      <c r="O37" s="342">
        <v>3824.1689999999999</v>
      </c>
      <c r="P37" s="343">
        <f t="shared" si="10"/>
        <v>6639.6764679999997</v>
      </c>
      <c r="Q37" s="342">
        <f>10431.484918-3791.80845</f>
        <v>6639.6764679999997</v>
      </c>
      <c r="R37" s="342"/>
      <c r="S37" s="342"/>
      <c r="T37" s="342"/>
      <c r="U37" s="342">
        <f>V37+W37</f>
        <v>3791.80845</v>
      </c>
      <c r="V37" s="342"/>
      <c r="W37" s="342">
        <v>3791.80845</v>
      </c>
      <c r="X37" s="342"/>
      <c r="Y37" s="342"/>
      <c r="Z37" s="342"/>
      <c r="AA37" s="342"/>
      <c r="AB37" s="344">
        <f t="shared" si="12"/>
        <v>212.8344866825918</v>
      </c>
      <c r="AC37" s="344">
        <v>0</v>
      </c>
      <c r="AD37" s="344">
        <f t="shared" si="3"/>
        <v>99.129239593908622</v>
      </c>
      <c r="AE37" s="344"/>
      <c r="AF37" s="126"/>
      <c r="AG37" s="111"/>
      <c r="AH37" s="126"/>
    </row>
    <row r="38" spans="1:34" s="127" customFormat="1" ht="24.75" customHeight="1">
      <c r="A38" s="340" t="s">
        <v>407</v>
      </c>
      <c r="B38" s="346" t="s">
        <v>721</v>
      </c>
      <c r="C38" s="342">
        <f t="shared" si="8"/>
        <v>7358</v>
      </c>
      <c r="D38" s="342"/>
      <c r="E38" s="342">
        <f t="shared" si="9"/>
        <v>7358</v>
      </c>
      <c r="F38" s="342">
        <v>7358</v>
      </c>
      <c r="G38" s="342"/>
      <c r="H38" s="342"/>
      <c r="I38" s="342"/>
      <c r="J38" s="342"/>
      <c r="K38" s="342">
        <f t="shared" si="6"/>
        <v>0</v>
      </c>
      <c r="L38" s="342"/>
      <c r="M38" s="342"/>
      <c r="N38" s="342">
        <f t="shared" si="11"/>
        <v>17599.898540000002</v>
      </c>
      <c r="O38" s="342"/>
      <c r="P38" s="343">
        <f t="shared" si="10"/>
        <v>17599.898540000002</v>
      </c>
      <c r="Q38" s="342">
        <f>16655.654028+944.244512</f>
        <v>17599.898540000002</v>
      </c>
      <c r="R38" s="342"/>
      <c r="S38" s="342"/>
      <c r="T38" s="342"/>
      <c r="U38" s="342">
        <f>V38+W38</f>
        <v>0</v>
      </c>
      <c r="V38" s="342"/>
      <c r="W38" s="342"/>
      <c r="X38" s="342"/>
      <c r="Y38" s="342"/>
      <c r="Z38" s="342"/>
      <c r="AA38" s="342"/>
      <c r="AB38" s="344">
        <f t="shared" si="12"/>
        <v>239.19405463441154</v>
      </c>
      <c r="AC38" s="344"/>
      <c r="AD38" s="344">
        <f t="shared" si="3"/>
        <v>239.19405463441154</v>
      </c>
      <c r="AE38" s="344"/>
      <c r="AF38" s="126"/>
      <c r="AG38" s="111"/>
      <c r="AH38" s="126"/>
    </row>
    <row r="39" spans="1:34" s="127" customFormat="1" ht="24.75" customHeight="1">
      <c r="A39" s="345" t="s">
        <v>408</v>
      </c>
      <c r="B39" s="346" t="s">
        <v>723</v>
      </c>
      <c r="C39" s="342">
        <f t="shared" si="8"/>
        <v>7023</v>
      </c>
      <c r="D39" s="342"/>
      <c r="E39" s="342">
        <f t="shared" si="9"/>
        <v>7023</v>
      </c>
      <c r="F39" s="342">
        <v>7023</v>
      </c>
      <c r="G39" s="342"/>
      <c r="H39" s="342"/>
      <c r="I39" s="342"/>
      <c r="J39" s="342"/>
      <c r="K39" s="342">
        <f t="shared" si="6"/>
        <v>0</v>
      </c>
      <c r="L39" s="342"/>
      <c r="M39" s="342"/>
      <c r="N39" s="342">
        <f t="shared" si="11"/>
        <v>8291.0548749999998</v>
      </c>
      <c r="O39" s="342"/>
      <c r="P39" s="343">
        <f t="shared" si="10"/>
        <v>8291.0548749999998</v>
      </c>
      <c r="Q39" s="342">
        <v>8291.0548749999998</v>
      </c>
      <c r="R39" s="342"/>
      <c r="S39" s="342"/>
      <c r="T39" s="342"/>
      <c r="U39" s="342">
        <f t="shared" ref="U39:U83" si="13">V39+W39</f>
        <v>0</v>
      </c>
      <c r="V39" s="342"/>
      <c r="W39" s="342"/>
      <c r="X39" s="342"/>
      <c r="Y39" s="342"/>
      <c r="Z39" s="342"/>
      <c r="AA39" s="342"/>
      <c r="AB39" s="344">
        <f t="shared" si="12"/>
        <v>118.05574362807916</v>
      </c>
      <c r="AC39" s="344"/>
      <c r="AD39" s="344">
        <f t="shared" si="3"/>
        <v>118.05574362807916</v>
      </c>
      <c r="AE39" s="344"/>
      <c r="AF39" s="126"/>
      <c r="AG39" s="111"/>
      <c r="AH39" s="126"/>
    </row>
    <row r="40" spans="1:34" s="127" customFormat="1" ht="24.75" customHeight="1">
      <c r="A40" s="340" t="s">
        <v>409</v>
      </c>
      <c r="B40" s="346" t="s">
        <v>682</v>
      </c>
      <c r="C40" s="342">
        <f t="shared" si="8"/>
        <v>15025</v>
      </c>
      <c r="D40" s="342"/>
      <c r="E40" s="342">
        <f t="shared" si="9"/>
        <v>15025</v>
      </c>
      <c r="F40" s="342">
        <v>15025</v>
      </c>
      <c r="G40" s="342"/>
      <c r="H40" s="342"/>
      <c r="I40" s="342"/>
      <c r="J40" s="342"/>
      <c r="K40" s="342">
        <f t="shared" si="6"/>
        <v>0</v>
      </c>
      <c r="L40" s="342"/>
      <c r="M40" s="342"/>
      <c r="N40" s="342">
        <f t="shared" si="11"/>
        <v>17695.725654999998</v>
      </c>
      <c r="O40" s="342">
        <v>3811.4070000000002</v>
      </c>
      <c r="P40" s="343">
        <f t="shared" si="10"/>
        <v>13884.318654999999</v>
      </c>
      <c r="Q40" s="342">
        <v>13884.318654999999</v>
      </c>
      <c r="R40" s="342"/>
      <c r="S40" s="342"/>
      <c r="T40" s="342"/>
      <c r="U40" s="342">
        <f t="shared" si="13"/>
        <v>0</v>
      </c>
      <c r="V40" s="342"/>
      <c r="W40" s="342"/>
      <c r="X40" s="342"/>
      <c r="Y40" s="342"/>
      <c r="Z40" s="342"/>
      <c r="AA40" s="342"/>
      <c r="AB40" s="344">
        <f t="shared" si="12"/>
        <v>117.77521234608984</v>
      </c>
      <c r="AC40" s="344"/>
      <c r="AD40" s="344">
        <f t="shared" si="3"/>
        <v>92.408110848585679</v>
      </c>
      <c r="AE40" s="344"/>
      <c r="AF40" s="126"/>
      <c r="AG40" s="111"/>
      <c r="AH40" s="126"/>
    </row>
    <row r="41" spans="1:34" s="127" customFormat="1" ht="24.75" customHeight="1">
      <c r="A41" s="345" t="s">
        <v>410</v>
      </c>
      <c r="B41" s="346" t="s">
        <v>683</v>
      </c>
      <c r="C41" s="342">
        <f t="shared" si="8"/>
        <v>309463</v>
      </c>
      <c r="D41" s="342">
        <v>297497</v>
      </c>
      <c r="E41" s="342">
        <f t="shared" si="9"/>
        <v>11966</v>
      </c>
      <c r="F41" s="342">
        <v>11966</v>
      </c>
      <c r="G41" s="342"/>
      <c r="H41" s="342"/>
      <c r="I41" s="342"/>
      <c r="J41" s="342"/>
      <c r="K41" s="342">
        <f t="shared" si="6"/>
        <v>0</v>
      </c>
      <c r="L41" s="342"/>
      <c r="M41" s="342"/>
      <c r="N41" s="342">
        <f t="shared" si="11"/>
        <v>152635.16406000001</v>
      </c>
      <c r="O41" s="342">
        <v>141527.784751</v>
      </c>
      <c r="P41" s="343">
        <f t="shared" si="10"/>
        <v>11099.779309</v>
      </c>
      <c r="Q41" s="342">
        <f>8958.410362-7.6+2148.968947</f>
        <v>11099.779309</v>
      </c>
      <c r="R41" s="342"/>
      <c r="S41" s="342"/>
      <c r="T41" s="342"/>
      <c r="U41" s="342">
        <f t="shared" si="13"/>
        <v>7.6</v>
      </c>
      <c r="V41" s="342"/>
      <c r="W41" s="342">
        <v>7.6</v>
      </c>
      <c r="X41" s="342"/>
      <c r="Y41" s="342"/>
      <c r="Z41" s="342"/>
      <c r="AA41" s="342"/>
      <c r="AB41" s="344">
        <f t="shared" si="12"/>
        <v>49.322589149591387</v>
      </c>
      <c r="AC41" s="344"/>
      <c r="AD41" s="344">
        <f t="shared" si="3"/>
        <v>92.7609836954705</v>
      </c>
      <c r="AE41" s="344"/>
      <c r="AF41" s="126"/>
      <c r="AG41" s="111"/>
      <c r="AH41" s="126"/>
    </row>
    <row r="42" spans="1:34" s="127" customFormat="1" ht="24.75" customHeight="1">
      <c r="A42" s="340" t="s">
        <v>411</v>
      </c>
      <c r="B42" s="346" t="s">
        <v>684</v>
      </c>
      <c r="C42" s="342">
        <f t="shared" si="8"/>
        <v>10898</v>
      </c>
      <c r="D42" s="342"/>
      <c r="E42" s="342">
        <f t="shared" si="9"/>
        <v>10898</v>
      </c>
      <c r="F42" s="342">
        <v>10898</v>
      </c>
      <c r="G42" s="342"/>
      <c r="H42" s="342"/>
      <c r="I42" s="342"/>
      <c r="J42" s="342"/>
      <c r="K42" s="342">
        <f t="shared" si="6"/>
        <v>0</v>
      </c>
      <c r="L42" s="342"/>
      <c r="M42" s="342"/>
      <c r="N42" s="342">
        <f t="shared" si="11"/>
        <v>11294.098086</v>
      </c>
      <c r="O42" s="342"/>
      <c r="P42" s="343">
        <f t="shared" si="10"/>
        <v>11286.098086</v>
      </c>
      <c r="Q42" s="342">
        <f>11294.098086-8</f>
        <v>11286.098086</v>
      </c>
      <c r="R42" s="342"/>
      <c r="S42" s="342"/>
      <c r="T42" s="342"/>
      <c r="U42" s="342">
        <f t="shared" si="13"/>
        <v>8</v>
      </c>
      <c r="V42" s="342"/>
      <c r="W42" s="342">
        <v>8</v>
      </c>
      <c r="X42" s="342"/>
      <c r="Y42" s="342"/>
      <c r="Z42" s="342"/>
      <c r="AA42" s="342"/>
      <c r="AB42" s="344">
        <f t="shared" si="12"/>
        <v>103.63459429253074</v>
      </c>
      <c r="AC42" s="344">
        <v>0</v>
      </c>
      <c r="AD42" s="344">
        <f t="shared" si="3"/>
        <v>103.56118632776656</v>
      </c>
      <c r="AE42" s="344"/>
      <c r="AF42" s="126"/>
      <c r="AG42" s="111"/>
      <c r="AH42" s="126"/>
    </row>
    <row r="43" spans="1:34" s="127" customFormat="1" ht="24.75" customHeight="1">
      <c r="A43" s="345" t="s">
        <v>412</v>
      </c>
      <c r="B43" s="346" t="s">
        <v>230</v>
      </c>
      <c r="C43" s="342">
        <f t="shared" si="8"/>
        <v>36500</v>
      </c>
      <c r="D43" s="342">
        <f>12375-12375</f>
        <v>0</v>
      </c>
      <c r="E43" s="342">
        <f t="shared" si="9"/>
        <v>36500</v>
      </c>
      <c r="F43" s="342">
        <v>36500</v>
      </c>
      <c r="G43" s="342"/>
      <c r="H43" s="342"/>
      <c r="I43" s="342"/>
      <c r="J43" s="342"/>
      <c r="K43" s="342">
        <f t="shared" si="6"/>
        <v>0</v>
      </c>
      <c r="L43" s="342"/>
      <c r="M43" s="342"/>
      <c r="N43" s="342">
        <f t="shared" si="11"/>
        <v>42207.682212</v>
      </c>
      <c r="O43" s="342">
        <v>12760.353800000001</v>
      </c>
      <c r="P43" s="343">
        <f t="shared" si="10"/>
        <v>29447.328411999999</v>
      </c>
      <c r="Q43" s="342">
        <f>25432.840118+4014.488294</f>
        <v>29447.328411999999</v>
      </c>
      <c r="R43" s="342"/>
      <c r="S43" s="342"/>
      <c r="T43" s="342"/>
      <c r="U43" s="342">
        <f t="shared" si="13"/>
        <v>0</v>
      </c>
      <c r="V43" s="342"/>
      <c r="W43" s="342"/>
      <c r="X43" s="342"/>
      <c r="Y43" s="342"/>
      <c r="Z43" s="342"/>
      <c r="AA43" s="342"/>
      <c r="AB43" s="344">
        <f t="shared" si="12"/>
        <v>115.63748551232877</v>
      </c>
      <c r="AC43" s="344"/>
      <c r="AD43" s="344">
        <f t="shared" si="3"/>
        <v>80.677612087671235</v>
      </c>
      <c r="AE43" s="344"/>
      <c r="AF43" s="126"/>
      <c r="AG43" s="111"/>
      <c r="AH43" s="126"/>
    </row>
    <row r="44" spans="1:34" s="127" customFormat="1" ht="24.75" customHeight="1">
      <c r="A44" s="340" t="s">
        <v>413</v>
      </c>
      <c r="B44" s="346" t="s">
        <v>685</v>
      </c>
      <c r="C44" s="342">
        <f t="shared" si="8"/>
        <v>3332</v>
      </c>
      <c r="D44" s="342"/>
      <c r="E44" s="342">
        <f t="shared" si="9"/>
        <v>3332</v>
      </c>
      <c r="F44" s="342">
        <v>3287</v>
      </c>
      <c r="G44" s="342"/>
      <c r="H44" s="342">
        <v>45</v>
      </c>
      <c r="I44" s="342"/>
      <c r="J44" s="342"/>
      <c r="K44" s="342">
        <f t="shared" si="6"/>
        <v>0</v>
      </c>
      <c r="L44" s="342"/>
      <c r="M44" s="342"/>
      <c r="N44" s="342">
        <f t="shared" si="11"/>
        <v>3214.623908</v>
      </c>
      <c r="O44" s="342"/>
      <c r="P44" s="343">
        <f t="shared" si="10"/>
        <v>3214.623908</v>
      </c>
      <c r="Q44" s="342">
        <v>3214.623908</v>
      </c>
      <c r="R44" s="342"/>
      <c r="S44" s="342"/>
      <c r="T44" s="342"/>
      <c r="U44" s="342">
        <f t="shared" si="13"/>
        <v>0</v>
      </c>
      <c r="V44" s="342"/>
      <c r="W44" s="342"/>
      <c r="X44" s="342"/>
      <c r="Y44" s="342"/>
      <c r="Z44" s="342"/>
      <c r="AA44" s="342"/>
      <c r="AB44" s="344">
        <f t="shared" si="12"/>
        <v>96.477308163265306</v>
      </c>
      <c r="AC44" s="344"/>
      <c r="AD44" s="344">
        <f t="shared" si="3"/>
        <v>96.477308163265306</v>
      </c>
      <c r="AE44" s="344"/>
      <c r="AF44" s="126"/>
      <c r="AG44" s="111"/>
      <c r="AH44" s="126"/>
    </row>
    <row r="45" spans="1:34" s="127" customFormat="1" ht="25.5" customHeight="1">
      <c r="A45" s="345" t="s">
        <v>414</v>
      </c>
      <c r="B45" s="346" t="s">
        <v>686</v>
      </c>
      <c r="C45" s="342">
        <f t="shared" si="8"/>
        <v>4042</v>
      </c>
      <c r="D45" s="342"/>
      <c r="E45" s="342">
        <f t="shared" si="9"/>
        <v>4042</v>
      </c>
      <c r="F45" s="342">
        <v>4042</v>
      </c>
      <c r="G45" s="342"/>
      <c r="H45" s="342"/>
      <c r="I45" s="342"/>
      <c r="J45" s="342"/>
      <c r="K45" s="342">
        <f t="shared" si="6"/>
        <v>0</v>
      </c>
      <c r="L45" s="342"/>
      <c r="M45" s="342"/>
      <c r="N45" s="342">
        <f t="shared" si="11"/>
        <v>5813.272379</v>
      </c>
      <c r="O45" s="342"/>
      <c r="P45" s="343">
        <f t="shared" si="10"/>
        <v>5688.0356490000004</v>
      </c>
      <c r="Q45" s="342">
        <f>4813.272379-125.23673</f>
        <v>4688.0356490000004</v>
      </c>
      <c r="R45" s="342">
        <v>1000</v>
      </c>
      <c r="S45" s="342"/>
      <c r="T45" s="342"/>
      <c r="U45" s="342">
        <f t="shared" si="13"/>
        <v>125.23672999999999</v>
      </c>
      <c r="V45" s="342"/>
      <c r="W45" s="342">
        <v>125.23672999999999</v>
      </c>
      <c r="X45" s="342"/>
      <c r="Y45" s="342"/>
      <c r="Z45" s="342"/>
      <c r="AA45" s="342"/>
      <c r="AB45" s="344">
        <f t="shared" si="12"/>
        <v>143.82168181593269</v>
      </c>
      <c r="AC45" s="344"/>
      <c r="AD45" s="344">
        <f t="shared" si="3"/>
        <v>140.72329661058882</v>
      </c>
      <c r="AE45" s="344"/>
      <c r="AF45" s="126"/>
      <c r="AG45" s="111"/>
      <c r="AH45" s="126"/>
    </row>
    <row r="46" spans="1:34" s="127" customFormat="1" ht="24.75" customHeight="1">
      <c r="A46" s="340" t="s">
        <v>415</v>
      </c>
      <c r="B46" s="346" t="s">
        <v>231</v>
      </c>
      <c r="C46" s="342">
        <f t="shared" si="8"/>
        <v>7612</v>
      </c>
      <c r="D46" s="342"/>
      <c r="E46" s="342">
        <f t="shared" si="9"/>
        <v>7612</v>
      </c>
      <c r="F46" s="342">
        <v>7562</v>
      </c>
      <c r="G46" s="342"/>
      <c r="H46" s="342">
        <v>50</v>
      </c>
      <c r="I46" s="342"/>
      <c r="J46" s="342"/>
      <c r="K46" s="342">
        <f t="shared" si="6"/>
        <v>0</v>
      </c>
      <c r="L46" s="342"/>
      <c r="M46" s="342"/>
      <c r="N46" s="342">
        <f t="shared" si="11"/>
        <v>7250.1616190000004</v>
      </c>
      <c r="O46" s="342"/>
      <c r="P46" s="343">
        <f t="shared" si="10"/>
        <v>7245.5626190000003</v>
      </c>
      <c r="Q46" s="342">
        <f>7250.161619-4.599</f>
        <v>7245.5626190000003</v>
      </c>
      <c r="R46" s="342"/>
      <c r="S46" s="342"/>
      <c r="T46" s="342"/>
      <c r="U46" s="342">
        <f t="shared" si="13"/>
        <v>4.5990000000000002</v>
      </c>
      <c r="V46" s="342"/>
      <c r="W46" s="342">
        <v>4.5990000000000002</v>
      </c>
      <c r="X46" s="342"/>
      <c r="Y46" s="342"/>
      <c r="Z46" s="342"/>
      <c r="AA46" s="342"/>
      <c r="AB46" s="344">
        <f t="shared" si="12"/>
        <v>95.246474238045195</v>
      </c>
      <c r="AC46" s="344"/>
      <c r="AD46" s="344">
        <f t="shared" si="3"/>
        <v>95.186056476615875</v>
      </c>
      <c r="AE46" s="344"/>
      <c r="AF46" s="126"/>
      <c r="AG46" s="111"/>
      <c r="AH46" s="126"/>
    </row>
    <row r="47" spans="1:34" s="127" customFormat="1" ht="24.75" customHeight="1">
      <c r="A47" s="345" t="s">
        <v>416</v>
      </c>
      <c r="B47" s="346" t="s">
        <v>687</v>
      </c>
      <c r="C47" s="342">
        <f t="shared" si="8"/>
        <v>5914</v>
      </c>
      <c r="D47" s="342"/>
      <c r="E47" s="342">
        <f t="shared" si="9"/>
        <v>5914</v>
      </c>
      <c r="F47" s="342">
        <v>5765</v>
      </c>
      <c r="G47" s="342"/>
      <c r="H47" s="342">
        <v>149</v>
      </c>
      <c r="I47" s="342"/>
      <c r="J47" s="342"/>
      <c r="K47" s="342">
        <f t="shared" si="6"/>
        <v>0</v>
      </c>
      <c r="L47" s="342"/>
      <c r="M47" s="342"/>
      <c r="N47" s="342">
        <f t="shared" si="11"/>
        <v>7522.8429139999998</v>
      </c>
      <c r="O47" s="342"/>
      <c r="P47" s="343">
        <f t="shared" si="10"/>
        <v>6663.8771239999996</v>
      </c>
      <c r="Q47" s="342">
        <f>7522.842914-858.96579</f>
        <v>6663.8771239999996</v>
      </c>
      <c r="R47" s="342"/>
      <c r="S47" s="342"/>
      <c r="T47" s="342"/>
      <c r="U47" s="342">
        <f t="shared" si="13"/>
        <v>858.96578999999997</v>
      </c>
      <c r="V47" s="342"/>
      <c r="W47" s="342">
        <v>858.96578999999997</v>
      </c>
      <c r="X47" s="342"/>
      <c r="Y47" s="342"/>
      <c r="Z47" s="342"/>
      <c r="AA47" s="342"/>
      <c r="AB47" s="344">
        <f t="shared" si="12"/>
        <v>127.20397216773756</v>
      </c>
      <c r="AC47" s="344"/>
      <c r="AD47" s="344">
        <f t="shared" si="3"/>
        <v>112.67969435238416</v>
      </c>
      <c r="AE47" s="344"/>
      <c r="AF47" s="126"/>
      <c r="AG47" s="111"/>
      <c r="AH47" s="126"/>
    </row>
    <row r="48" spans="1:34" s="127" customFormat="1" ht="56.25" customHeight="1">
      <c r="A48" s="340" t="s">
        <v>417</v>
      </c>
      <c r="B48" s="346" t="s">
        <v>851</v>
      </c>
      <c r="C48" s="342">
        <f t="shared" si="8"/>
        <v>492575.88700000005</v>
      </c>
      <c r="D48" s="342">
        <f>703628-152966.703-38804.182-19111.546-169.682</f>
        <v>492575.88700000005</v>
      </c>
      <c r="E48" s="342">
        <f t="shared" si="9"/>
        <v>0</v>
      </c>
      <c r="F48" s="342"/>
      <c r="G48" s="342"/>
      <c r="H48" s="342"/>
      <c r="I48" s="342"/>
      <c r="J48" s="342"/>
      <c r="K48" s="342">
        <f t="shared" si="6"/>
        <v>0</v>
      </c>
      <c r="L48" s="342"/>
      <c r="M48" s="342"/>
      <c r="N48" s="342">
        <f t="shared" si="11"/>
        <v>324481.44740300003</v>
      </c>
      <c r="O48" s="342">
        <v>324481.44740300003</v>
      </c>
      <c r="P48" s="343">
        <f t="shared" si="10"/>
        <v>0</v>
      </c>
      <c r="Q48" s="342"/>
      <c r="R48" s="342"/>
      <c r="S48" s="342"/>
      <c r="T48" s="342"/>
      <c r="U48" s="342">
        <f t="shared" si="13"/>
        <v>0</v>
      </c>
      <c r="V48" s="342"/>
      <c r="W48" s="342"/>
      <c r="X48" s="342"/>
      <c r="Y48" s="342"/>
      <c r="Z48" s="342"/>
      <c r="AA48" s="342"/>
      <c r="AB48" s="344">
        <f t="shared" si="12"/>
        <v>65.874407571842838</v>
      </c>
      <c r="AC48" s="344"/>
      <c r="AD48" s="344"/>
      <c r="AE48" s="344"/>
      <c r="AF48" s="126"/>
      <c r="AG48" s="111"/>
      <c r="AH48" s="126"/>
    </row>
    <row r="49" spans="1:34" s="127" customFormat="1" ht="33" customHeight="1">
      <c r="A49" s="345" t="s">
        <v>418</v>
      </c>
      <c r="B49" s="346" t="s">
        <v>535</v>
      </c>
      <c r="C49" s="342">
        <f t="shared" si="8"/>
        <v>11200</v>
      </c>
      <c r="D49" s="342">
        <v>11200</v>
      </c>
      <c r="E49" s="342">
        <f t="shared" si="9"/>
        <v>0</v>
      </c>
      <c r="F49" s="342"/>
      <c r="G49" s="342"/>
      <c r="H49" s="342"/>
      <c r="I49" s="342"/>
      <c r="J49" s="342"/>
      <c r="K49" s="342">
        <f t="shared" si="6"/>
        <v>0</v>
      </c>
      <c r="L49" s="342"/>
      <c r="M49" s="342"/>
      <c r="N49" s="342">
        <f t="shared" si="11"/>
        <v>0</v>
      </c>
      <c r="O49" s="342"/>
      <c r="P49" s="343">
        <f t="shared" si="10"/>
        <v>0</v>
      </c>
      <c r="Q49" s="342"/>
      <c r="R49" s="342"/>
      <c r="S49" s="342"/>
      <c r="T49" s="342"/>
      <c r="U49" s="342">
        <f t="shared" si="13"/>
        <v>0</v>
      </c>
      <c r="V49" s="342"/>
      <c r="W49" s="342"/>
      <c r="X49" s="342"/>
      <c r="Y49" s="342"/>
      <c r="Z49" s="342"/>
      <c r="AA49" s="342"/>
      <c r="AB49" s="344">
        <f t="shared" si="12"/>
        <v>0</v>
      </c>
      <c r="AC49" s="344"/>
      <c r="AD49" s="344"/>
      <c r="AE49" s="344"/>
      <c r="AF49" s="126"/>
      <c r="AG49" s="111"/>
      <c r="AH49" s="126"/>
    </row>
    <row r="50" spans="1:34" s="127" customFormat="1" ht="20.25" customHeight="1">
      <c r="A50" s="340" t="s">
        <v>419</v>
      </c>
      <c r="B50" s="346" t="s">
        <v>293</v>
      </c>
      <c r="C50" s="342">
        <f t="shared" si="8"/>
        <v>8450</v>
      </c>
      <c r="D50" s="342">
        <v>8450</v>
      </c>
      <c r="E50" s="342">
        <f t="shared" si="9"/>
        <v>0</v>
      </c>
      <c r="F50" s="342"/>
      <c r="G50" s="342"/>
      <c r="H50" s="342"/>
      <c r="I50" s="342"/>
      <c r="J50" s="342"/>
      <c r="K50" s="342">
        <f t="shared" si="6"/>
        <v>0</v>
      </c>
      <c r="L50" s="342"/>
      <c r="M50" s="342"/>
      <c r="N50" s="342">
        <f t="shared" si="11"/>
        <v>6149.8250909999997</v>
      </c>
      <c r="O50" s="342">
        <v>6149.8250909999997</v>
      </c>
      <c r="P50" s="343">
        <f t="shared" si="10"/>
        <v>0</v>
      </c>
      <c r="Q50" s="342"/>
      <c r="R50" s="342"/>
      <c r="S50" s="342"/>
      <c r="T50" s="342"/>
      <c r="U50" s="342">
        <f t="shared" si="13"/>
        <v>0</v>
      </c>
      <c r="V50" s="342"/>
      <c r="W50" s="342"/>
      <c r="X50" s="342"/>
      <c r="Y50" s="342"/>
      <c r="Z50" s="342"/>
      <c r="AA50" s="342"/>
      <c r="AB50" s="344">
        <f t="shared" si="12"/>
        <v>72.778995159763312</v>
      </c>
      <c r="AC50" s="344"/>
      <c r="AD50" s="344"/>
      <c r="AE50" s="344"/>
      <c r="AF50" s="126"/>
      <c r="AG50" s="111"/>
      <c r="AH50" s="126"/>
    </row>
    <row r="51" spans="1:34" s="127" customFormat="1" ht="34.5" customHeight="1">
      <c r="A51" s="345" t="s">
        <v>420</v>
      </c>
      <c r="B51" s="346" t="s">
        <v>263</v>
      </c>
      <c r="C51" s="342">
        <f t="shared" si="8"/>
        <v>70478</v>
      </c>
      <c r="D51" s="342">
        <v>70478</v>
      </c>
      <c r="E51" s="342">
        <f t="shared" si="9"/>
        <v>0</v>
      </c>
      <c r="F51" s="342"/>
      <c r="G51" s="342"/>
      <c r="H51" s="342"/>
      <c r="I51" s="342"/>
      <c r="J51" s="342"/>
      <c r="K51" s="342">
        <f t="shared" si="6"/>
        <v>0</v>
      </c>
      <c r="L51" s="342"/>
      <c r="M51" s="342"/>
      <c r="N51" s="342">
        <f t="shared" si="11"/>
        <v>122410.005209</v>
      </c>
      <c r="O51" s="342">
        <v>122410.005209</v>
      </c>
      <c r="P51" s="343">
        <f t="shared" si="10"/>
        <v>0</v>
      </c>
      <c r="Q51" s="342"/>
      <c r="R51" s="342"/>
      <c r="S51" s="342"/>
      <c r="T51" s="342"/>
      <c r="U51" s="342">
        <f t="shared" si="13"/>
        <v>0</v>
      </c>
      <c r="V51" s="342"/>
      <c r="W51" s="342"/>
      <c r="X51" s="342"/>
      <c r="Y51" s="342"/>
      <c r="Z51" s="342"/>
      <c r="AA51" s="342"/>
      <c r="AB51" s="344">
        <f t="shared" si="12"/>
        <v>173.68541276568575</v>
      </c>
      <c r="AC51" s="344"/>
      <c r="AD51" s="344"/>
      <c r="AE51" s="344"/>
      <c r="AF51" s="126"/>
      <c r="AG51" s="111"/>
      <c r="AH51" s="126"/>
    </row>
    <row r="52" spans="1:34" s="127" customFormat="1" ht="39" customHeight="1">
      <c r="A52" s="340" t="s">
        <v>421</v>
      </c>
      <c r="B52" s="365" t="s">
        <v>852</v>
      </c>
      <c r="C52" s="342">
        <f t="shared" si="8"/>
        <v>53894</v>
      </c>
      <c r="D52" s="342">
        <v>53894</v>
      </c>
      <c r="E52" s="342">
        <f t="shared" si="9"/>
        <v>0</v>
      </c>
      <c r="F52" s="342"/>
      <c r="G52" s="342"/>
      <c r="H52" s="342"/>
      <c r="I52" s="342"/>
      <c r="J52" s="342"/>
      <c r="K52" s="342">
        <f t="shared" si="6"/>
        <v>0</v>
      </c>
      <c r="L52" s="342"/>
      <c r="M52" s="342"/>
      <c r="N52" s="342">
        <f t="shared" si="11"/>
        <v>44660.169113999997</v>
      </c>
      <c r="O52" s="342">
        <v>44660.169113999997</v>
      </c>
      <c r="P52" s="343">
        <f t="shared" si="10"/>
        <v>0</v>
      </c>
      <c r="Q52" s="342"/>
      <c r="R52" s="342"/>
      <c r="S52" s="342"/>
      <c r="T52" s="342"/>
      <c r="U52" s="342">
        <f t="shared" si="13"/>
        <v>0</v>
      </c>
      <c r="V52" s="342"/>
      <c r="W52" s="342"/>
      <c r="X52" s="342"/>
      <c r="Y52" s="342"/>
      <c r="Z52" s="342"/>
      <c r="AA52" s="342"/>
      <c r="AB52" s="344">
        <f t="shared" si="12"/>
        <v>82.866681103647892</v>
      </c>
      <c r="AC52" s="344"/>
      <c r="AD52" s="344"/>
      <c r="AE52" s="344"/>
      <c r="AF52" s="126"/>
      <c r="AG52" s="111"/>
      <c r="AH52" s="126"/>
    </row>
    <row r="53" spans="1:34" s="127" customFormat="1" ht="39.75" customHeight="1">
      <c r="A53" s="345" t="s">
        <v>422</v>
      </c>
      <c r="B53" s="365" t="s">
        <v>853</v>
      </c>
      <c r="C53" s="342">
        <f t="shared" si="8"/>
        <v>10850</v>
      </c>
      <c r="D53" s="342">
        <v>10850</v>
      </c>
      <c r="E53" s="342">
        <f t="shared" si="9"/>
        <v>0</v>
      </c>
      <c r="F53" s="342"/>
      <c r="G53" s="342"/>
      <c r="H53" s="342"/>
      <c r="I53" s="342"/>
      <c r="J53" s="342"/>
      <c r="K53" s="342">
        <f t="shared" si="6"/>
        <v>0</v>
      </c>
      <c r="L53" s="342"/>
      <c r="M53" s="342"/>
      <c r="N53" s="342">
        <f t="shared" si="11"/>
        <v>13516.423999999999</v>
      </c>
      <c r="O53" s="342">
        <v>13516.423999999999</v>
      </c>
      <c r="P53" s="343">
        <f t="shared" si="10"/>
        <v>0</v>
      </c>
      <c r="Q53" s="342"/>
      <c r="R53" s="342"/>
      <c r="S53" s="342"/>
      <c r="T53" s="342"/>
      <c r="U53" s="342">
        <f t="shared" si="13"/>
        <v>0</v>
      </c>
      <c r="V53" s="342"/>
      <c r="W53" s="342"/>
      <c r="X53" s="342"/>
      <c r="Y53" s="342"/>
      <c r="Z53" s="342"/>
      <c r="AA53" s="342"/>
      <c r="AB53" s="344">
        <f t="shared" si="12"/>
        <v>124.57533640552994</v>
      </c>
      <c r="AC53" s="344"/>
      <c r="AD53" s="344"/>
      <c r="AE53" s="344"/>
      <c r="AF53" s="126"/>
      <c r="AG53" s="111"/>
      <c r="AH53" s="126"/>
    </row>
    <row r="54" spans="1:34" s="127" customFormat="1" ht="24.75" customHeight="1">
      <c r="A54" s="340" t="s">
        <v>423</v>
      </c>
      <c r="B54" s="346" t="s">
        <v>232</v>
      </c>
      <c r="C54" s="342">
        <f t="shared" si="8"/>
        <v>21579</v>
      </c>
      <c r="D54" s="342"/>
      <c r="E54" s="342">
        <f t="shared" si="9"/>
        <v>21579</v>
      </c>
      <c r="F54" s="342">
        <v>12479</v>
      </c>
      <c r="G54" s="342"/>
      <c r="H54" s="342">
        <v>9100</v>
      </c>
      <c r="I54" s="342"/>
      <c r="J54" s="342"/>
      <c r="K54" s="342">
        <f t="shared" si="6"/>
        <v>0</v>
      </c>
      <c r="L54" s="342"/>
      <c r="M54" s="342"/>
      <c r="N54" s="342">
        <f t="shared" si="11"/>
        <v>31266</v>
      </c>
      <c r="O54" s="342"/>
      <c r="P54" s="343">
        <f t="shared" si="10"/>
        <v>30816</v>
      </c>
      <c r="Q54" s="342">
        <f>31266-450</f>
        <v>30816</v>
      </c>
      <c r="R54" s="342"/>
      <c r="S54" s="342"/>
      <c r="T54" s="342"/>
      <c r="U54" s="342">
        <f t="shared" si="13"/>
        <v>450</v>
      </c>
      <c r="V54" s="342"/>
      <c r="W54" s="342">
        <v>450</v>
      </c>
      <c r="X54" s="342"/>
      <c r="Y54" s="342"/>
      <c r="Z54" s="342"/>
      <c r="AA54" s="342"/>
      <c r="AB54" s="344">
        <f t="shared" si="12"/>
        <v>144.89086611983873</v>
      </c>
      <c r="AC54" s="344"/>
      <c r="AD54" s="344">
        <f t="shared" si="3"/>
        <v>142.80550535242597</v>
      </c>
      <c r="AE54" s="344"/>
      <c r="AF54" s="126"/>
      <c r="AG54" s="111"/>
      <c r="AH54" s="126"/>
    </row>
    <row r="55" spans="1:34" s="127" customFormat="1" ht="27.75" customHeight="1">
      <c r="A55" s="345" t="s">
        <v>424</v>
      </c>
      <c r="B55" s="346" t="s">
        <v>724</v>
      </c>
      <c r="C55" s="342">
        <f t="shared" si="8"/>
        <v>103594</v>
      </c>
      <c r="D55" s="342">
        <v>32412</v>
      </c>
      <c r="E55" s="342">
        <f t="shared" si="9"/>
        <v>71182</v>
      </c>
      <c r="F55" s="342">
        <f>43398+24699</f>
        <v>68097</v>
      </c>
      <c r="G55" s="342"/>
      <c r="H55" s="342">
        <f>45+3000+40</f>
        <v>3085</v>
      </c>
      <c r="I55" s="342"/>
      <c r="J55" s="342"/>
      <c r="K55" s="342">
        <f t="shared" si="6"/>
        <v>0</v>
      </c>
      <c r="L55" s="342"/>
      <c r="M55" s="342"/>
      <c r="N55" s="342">
        <f t="shared" si="11"/>
        <v>144576.50645700001</v>
      </c>
      <c r="O55" s="342">
        <v>54296.990675000001</v>
      </c>
      <c r="P55" s="343">
        <f t="shared" si="10"/>
        <v>90271.515782000002</v>
      </c>
      <c r="Q55" s="342">
        <f>90279.515782-8</f>
        <v>90271.515782000002</v>
      </c>
      <c r="R55" s="342"/>
      <c r="S55" s="342"/>
      <c r="T55" s="342"/>
      <c r="U55" s="342">
        <f t="shared" si="13"/>
        <v>8</v>
      </c>
      <c r="V55" s="342"/>
      <c r="W55" s="342">
        <v>8</v>
      </c>
      <c r="X55" s="342"/>
      <c r="Y55" s="342"/>
      <c r="Z55" s="342"/>
      <c r="AA55" s="342"/>
      <c r="AB55" s="344">
        <f t="shared" si="12"/>
        <v>139.56069507596965</v>
      </c>
      <c r="AC55" s="344"/>
      <c r="AD55" s="344">
        <f t="shared" si="3"/>
        <v>126.81789747689022</v>
      </c>
      <c r="AE55" s="344"/>
      <c r="AF55" s="126"/>
      <c r="AG55" s="111"/>
      <c r="AH55" s="126"/>
    </row>
    <row r="56" spans="1:34" s="127" customFormat="1" ht="33" customHeight="1">
      <c r="A56" s="340" t="s">
        <v>423</v>
      </c>
      <c r="B56" s="346" t="s">
        <v>688</v>
      </c>
      <c r="C56" s="342">
        <f t="shared" si="8"/>
        <v>0</v>
      </c>
      <c r="D56" s="342"/>
      <c r="E56" s="342">
        <f t="shared" si="9"/>
        <v>0</v>
      </c>
      <c r="F56" s="342"/>
      <c r="G56" s="342"/>
      <c r="H56" s="342"/>
      <c r="I56" s="342"/>
      <c r="J56" s="342"/>
      <c r="K56" s="342">
        <f t="shared" si="6"/>
        <v>0</v>
      </c>
      <c r="L56" s="342"/>
      <c r="M56" s="342"/>
      <c r="N56" s="342">
        <f t="shared" si="11"/>
        <v>17902</v>
      </c>
      <c r="O56" s="342">
        <v>17902</v>
      </c>
      <c r="P56" s="343">
        <f t="shared" si="10"/>
        <v>0</v>
      </c>
      <c r="Q56" s="342"/>
      <c r="R56" s="342"/>
      <c r="S56" s="342"/>
      <c r="T56" s="342"/>
      <c r="U56" s="342">
        <f t="shared" si="13"/>
        <v>0</v>
      </c>
      <c r="V56" s="342"/>
      <c r="W56" s="342"/>
      <c r="X56" s="342"/>
      <c r="Y56" s="342"/>
      <c r="Z56" s="342"/>
      <c r="AA56" s="342"/>
      <c r="AB56" s="344"/>
      <c r="AC56" s="344"/>
      <c r="AD56" s="344"/>
      <c r="AE56" s="344"/>
      <c r="AF56" s="126"/>
      <c r="AG56" s="111"/>
      <c r="AH56" s="126"/>
    </row>
    <row r="57" spans="1:34" s="127" customFormat="1" ht="24.75" customHeight="1">
      <c r="A57" s="345" t="s">
        <v>424</v>
      </c>
      <c r="B57" s="341" t="s">
        <v>604</v>
      </c>
      <c r="C57" s="342">
        <f t="shared" si="8"/>
        <v>562</v>
      </c>
      <c r="D57" s="342"/>
      <c r="E57" s="342">
        <f t="shared" si="9"/>
        <v>562</v>
      </c>
      <c r="F57" s="342">
        <v>562</v>
      </c>
      <c r="G57" s="342"/>
      <c r="H57" s="342"/>
      <c r="I57" s="342"/>
      <c r="J57" s="342"/>
      <c r="K57" s="342">
        <f t="shared" si="6"/>
        <v>0</v>
      </c>
      <c r="L57" s="342"/>
      <c r="M57" s="342"/>
      <c r="N57" s="342">
        <f t="shared" si="11"/>
        <v>536</v>
      </c>
      <c r="O57" s="342"/>
      <c r="P57" s="343">
        <f t="shared" si="10"/>
        <v>536</v>
      </c>
      <c r="Q57" s="342">
        <v>536</v>
      </c>
      <c r="R57" s="342"/>
      <c r="S57" s="342"/>
      <c r="T57" s="342"/>
      <c r="U57" s="342">
        <f t="shared" si="13"/>
        <v>0</v>
      </c>
      <c r="V57" s="342"/>
      <c r="W57" s="342"/>
      <c r="X57" s="342"/>
      <c r="Y57" s="342"/>
      <c r="Z57" s="342"/>
      <c r="AA57" s="342"/>
      <c r="AB57" s="344">
        <f t="shared" si="12"/>
        <v>95.37366548042705</v>
      </c>
      <c r="AC57" s="344"/>
      <c r="AD57" s="344">
        <f t="shared" si="3"/>
        <v>95.37366548042705</v>
      </c>
      <c r="AE57" s="344"/>
      <c r="AF57" s="126"/>
      <c r="AG57" s="111"/>
      <c r="AH57" s="126"/>
    </row>
    <row r="58" spans="1:34" s="127" customFormat="1" ht="24.75" customHeight="1">
      <c r="A58" s="340" t="s">
        <v>425</v>
      </c>
      <c r="B58" s="341" t="s">
        <v>689</v>
      </c>
      <c r="C58" s="342">
        <f t="shared" si="8"/>
        <v>436</v>
      </c>
      <c r="D58" s="342"/>
      <c r="E58" s="342">
        <f t="shared" si="9"/>
        <v>436</v>
      </c>
      <c r="F58" s="342">
        <v>436</v>
      </c>
      <c r="G58" s="342"/>
      <c r="H58" s="342"/>
      <c r="I58" s="342"/>
      <c r="J58" s="342"/>
      <c r="K58" s="342">
        <f t="shared" si="6"/>
        <v>0</v>
      </c>
      <c r="L58" s="342"/>
      <c r="M58" s="342"/>
      <c r="N58" s="342">
        <f t="shared" si="11"/>
        <v>431</v>
      </c>
      <c r="O58" s="342"/>
      <c r="P58" s="343">
        <f t="shared" si="10"/>
        <v>431</v>
      </c>
      <c r="Q58" s="342">
        <v>431</v>
      </c>
      <c r="R58" s="342"/>
      <c r="S58" s="342"/>
      <c r="T58" s="342"/>
      <c r="U58" s="342">
        <f t="shared" si="13"/>
        <v>0</v>
      </c>
      <c r="V58" s="342"/>
      <c r="W58" s="342"/>
      <c r="X58" s="342"/>
      <c r="Y58" s="342"/>
      <c r="Z58" s="342"/>
      <c r="AA58" s="342"/>
      <c r="AB58" s="344">
        <f t="shared" si="12"/>
        <v>98.853211009174302</v>
      </c>
      <c r="AC58" s="344"/>
      <c r="AD58" s="344">
        <f t="shared" si="3"/>
        <v>98.853211009174302</v>
      </c>
      <c r="AE58" s="344"/>
      <c r="AF58" s="126"/>
      <c r="AG58" s="111"/>
      <c r="AH58" s="126"/>
    </row>
    <row r="59" spans="1:34" s="127" customFormat="1" ht="31.5" customHeight="1">
      <c r="A59" s="345" t="s">
        <v>426</v>
      </c>
      <c r="B59" s="346" t="s">
        <v>690</v>
      </c>
      <c r="C59" s="342">
        <f t="shared" si="8"/>
        <v>420</v>
      </c>
      <c r="D59" s="342"/>
      <c r="E59" s="342">
        <f t="shared" si="9"/>
        <v>420</v>
      </c>
      <c r="F59" s="342">
        <v>420</v>
      </c>
      <c r="G59" s="342"/>
      <c r="H59" s="342"/>
      <c r="I59" s="342"/>
      <c r="J59" s="342"/>
      <c r="K59" s="342">
        <f t="shared" si="6"/>
        <v>0</v>
      </c>
      <c r="L59" s="342"/>
      <c r="M59" s="342"/>
      <c r="N59" s="342">
        <f t="shared" si="11"/>
        <v>410</v>
      </c>
      <c r="O59" s="342"/>
      <c r="P59" s="343">
        <f t="shared" si="10"/>
        <v>410</v>
      </c>
      <c r="Q59" s="342">
        <v>410</v>
      </c>
      <c r="R59" s="342"/>
      <c r="S59" s="342"/>
      <c r="T59" s="342"/>
      <c r="U59" s="342">
        <f t="shared" si="13"/>
        <v>0</v>
      </c>
      <c r="V59" s="342"/>
      <c r="W59" s="342"/>
      <c r="X59" s="342"/>
      <c r="Y59" s="342"/>
      <c r="Z59" s="342"/>
      <c r="AA59" s="342"/>
      <c r="AB59" s="344">
        <f t="shared" si="12"/>
        <v>97.61904761904762</v>
      </c>
      <c r="AC59" s="344"/>
      <c r="AD59" s="344">
        <f t="shared" si="3"/>
        <v>97.61904761904762</v>
      </c>
      <c r="AE59" s="344"/>
      <c r="AF59" s="126"/>
      <c r="AG59" s="111"/>
      <c r="AH59" s="126"/>
    </row>
    <row r="60" spans="1:34" s="127" customFormat="1" ht="24.75" customHeight="1">
      <c r="A60" s="340" t="s">
        <v>427</v>
      </c>
      <c r="B60" s="346" t="s">
        <v>233</v>
      </c>
      <c r="C60" s="342">
        <f t="shared" si="8"/>
        <v>412</v>
      </c>
      <c r="D60" s="342"/>
      <c r="E60" s="342">
        <f t="shared" si="9"/>
        <v>412</v>
      </c>
      <c r="F60" s="342">
        <v>412</v>
      </c>
      <c r="G60" s="342"/>
      <c r="H60" s="342"/>
      <c r="I60" s="342"/>
      <c r="J60" s="342"/>
      <c r="K60" s="342">
        <f t="shared" si="6"/>
        <v>0</v>
      </c>
      <c r="L60" s="342"/>
      <c r="M60" s="342"/>
      <c r="N60" s="342">
        <f t="shared" si="11"/>
        <v>402</v>
      </c>
      <c r="O60" s="342"/>
      <c r="P60" s="343">
        <f t="shared" si="10"/>
        <v>402</v>
      </c>
      <c r="Q60" s="342">
        <v>402</v>
      </c>
      <c r="R60" s="342"/>
      <c r="S60" s="342"/>
      <c r="T60" s="342"/>
      <c r="U60" s="342">
        <f t="shared" si="13"/>
        <v>0</v>
      </c>
      <c r="V60" s="342"/>
      <c r="W60" s="342"/>
      <c r="X60" s="342"/>
      <c r="Y60" s="342"/>
      <c r="Z60" s="342"/>
      <c r="AA60" s="342"/>
      <c r="AB60" s="344">
        <f t="shared" si="12"/>
        <v>97.572815533980574</v>
      </c>
      <c r="AC60" s="344"/>
      <c r="AD60" s="344">
        <f t="shared" si="3"/>
        <v>97.572815533980574</v>
      </c>
      <c r="AE60" s="344"/>
      <c r="AF60" s="126"/>
      <c r="AG60" s="111"/>
      <c r="AH60" s="126"/>
    </row>
    <row r="61" spans="1:34" s="127" customFormat="1" ht="24.75" customHeight="1">
      <c r="A61" s="345" t="s">
        <v>701</v>
      </c>
      <c r="B61" s="346" t="s">
        <v>234</v>
      </c>
      <c r="C61" s="342">
        <f t="shared" si="8"/>
        <v>90</v>
      </c>
      <c r="D61" s="342"/>
      <c r="E61" s="342">
        <f t="shared" si="9"/>
        <v>90</v>
      </c>
      <c r="F61" s="342">
        <v>90</v>
      </c>
      <c r="G61" s="342"/>
      <c r="H61" s="342"/>
      <c r="I61" s="342"/>
      <c r="J61" s="342"/>
      <c r="K61" s="342">
        <f t="shared" si="6"/>
        <v>0</v>
      </c>
      <c r="L61" s="342"/>
      <c r="M61" s="342"/>
      <c r="N61" s="342">
        <f t="shared" si="11"/>
        <v>81</v>
      </c>
      <c r="O61" s="342"/>
      <c r="P61" s="343">
        <f t="shared" si="10"/>
        <v>81</v>
      </c>
      <c r="Q61" s="342">
        <v>81</v>
      </c>
      <c r="R61" s="342"/>
      <c r="S61" s="342"/>
      <c r="T61" s="342"/>
      <c r="U61" s="342">
        <f t="shared" si="13"/>
        <v>0</v>
      </c>
      <c r="V61" s="342"/>
      <c r="W61" s="342"/>
      <c r="X61" s="342"/>
      <c r="Y61" s="342"/>
      <c r="Z61" s="342"/>
      <c r="AA61" s="342"/>
      <c r="AB61" s="344">
        <f t="shared" si="12"/>
        <v>90</v>
      </c>
      <c r="AC61" s="344"/>
      <c r="AD61" s="344">
        <f t="shared" si="3"/>
        <v>90</v>
      </c>
      <c r="AE61" s="344"/>
      <c r="AF61" s="126"/>
      <c r="AG61" s="111"/>
      <c r="AH61" s="126"/>
    </row>
    <row r="62" spans="1:34" s="127" customFormat="1" ht="24.75" customHeight="1">
      <c r="A62" s="340" t="s">
        <v>428</v>
      </c>
      <c r="B62" s="479" t="s">
        <v>235</v>
      </c>
      <c r="C62" s="342">
        <f t="shared" si="8"/>
        <v>1034</v>
      </c>
      <c r="D62" s="342"/>
      <c r="E62" s="342">
        <f t="shared" si="9"/>
        <v>1034</v>
      </c>
      <c r="F62" s="342">
        <v>1034</v>
      </c>
      <c r="G62" s="342"/>
      <c r="H62" s="342"/>
      <c r="I62" s="342"/>
      <c r="J62" s="342"/>
      <c r="K62" s="342">
        <f t="shared" si="6"/>
        <v>0</v>
      </c>
      <c r="L62" s="342"/>
      <c r="M62" s="342"/>
      <c r="N62" s="342">
        <f t="shared" si="11"/>
        <v>1236.5</v>
      </c>
      <c r="O62" s="342"/>
      <c r="P62" s="343">
        <f t="shared" si="10"/>
        <v>1236.5</v>
      </c>
      <c r="Q62" s="342">
        <v>1236.5</v>
      </c>
      <c r="R62" s="342"/>
      <c r="S62" s="342"/>
      <c r="T62" s="342"/>
      <c r="U62" s="342">
        <f t="shared" si="13"/>
        <v>0</v>
      </c>
      <c r="V62" s="342"/>
      <c r="W62" s="342"/>
      <c r="X62" s="342"/>
      <c r="Y62" s="342"/>
      <c r="Z62" s="342"/>
      <c r="AA62" s="342"/>
      <c r="AB62" s="344">
        <f t="shared" si="12"/>
        <v>119.58413926499033</v>
      </c>
      <c r="AC62" s="344"/>
      <c r="AD62" s="344">
        <f t="shared" si="3"/>
        <v>119.58413926499033</v>
      </c>
      <c r="AE62" s="344"/>
      <c r="AF62" s="126"/>
      <c r="AG62" s="111"/>
      <c r="AH62" s="126"/>
    </row>
    <row r="63" spans="1:34" s="127" customFormat="1" ht="21" customHeight="1">
      <c r="A63" s="345" t="s">
        <v>429</v>
      </c>
      <c r="B63" s="479" t="s">
        <v>691</v>
      </c>
      <c r="C63" s="342">
        <f t="shared" si="8"/>
        <v>2305</v>
      </c>
      <c r="D63" s="342"/>
      <c r="E63" s="342">
        <f t="shared" si="9"/>
        <v>2305</v>
      </c>
      <c r="F63" s="342">
        <v>2305</v>
      </c>
      <c r="G63" s="342"/>
      <c r="H63" s="342"/>
      <c r="I63" s="342"/>
      <c r="J63" s="342"/>
      <c r="K63" s="342">
        <f t="shared" si="6"/>
        <v>0</v>
      </c>
      <c r="L63" s="342"/>
      <c r="M63" s="342"/>
      <c r="N63" s="342">
        <f t="shared" si="11"/>
        <v>2115</v>
      </c>
      <c r="O63" s="342"/>
      <c r="P63" s="343">
        <f t="shared" si="10"/>
        <v>2115</v>
      </c>
      <c r="Q63" s="342">
        <v>2115</v>
      </c>
      <c r="R63" s="342"/>
      <c r="S63" s="342"/>
      <c r="T63" s="342"/>
      <c r="U63" s="342">
        <f t="shared" si="13"/>
        <v>0</v>
      </c>
      <c r="V63" s="342"/>
      <c r="W63" s="342"/>
      <c r="X63" s="342"/>
      <c r="Y63" s="342"/>
      <c r="Z63" s="342"/>
      <c r="AA63" s="342"/>
      <c r="AB63" s="344">
        <f t="shared" si="12"/>
        <v>91.75704989154012</v>
      </c>
      <c r="AC63" s="344"/>
      <c r="AD63" s="344">
        <f t="shared" si="3"/>
        <v>91.75704989154012</v>
      </c>
      <c r="AE63" s="344"/>
      <c r="AF63" s="126"/>
      <c r="AG63" s="111"/>
      <c r="AH63" s="126"/>
    </row>
    <row r="64" spans="1:34" s="127" customFormat="1" ht="27.75" customHeight="1">
      <c r="A64" s="340" t="s">
        <v>430</v>
      </c>
      <c r="B64" s="479" t="s">
        <v>236</v>
      </c>
      <c r="C64" s="342">
        <f t="shared" si="8"/>
        <v>322</v>
      </c>
      <c r="D64" s="342"/>
      <c r="E64" s="342">
        <f t="shared" si="9"/>
        <v>322</v>
      </c>
      <c r="F64" s="342">
        <v>322</v>
      </c>
      <c r="G64" s="342"/>
      <c r="H64" s="342"/>
      <c r="I64" s="342"/>
      <c r="J64" s="342"/>
      <c r="K64" s="342">
        <f t="shared" si="6"/>
        <v>0</v>
      </c>
      <c r="L64" s="342"/>
      <c r="M64" s="342"/>
      <c r="N64" s="342">
        <f t="shared" si="11"/>
        <v>309</v>
      </c>
      <c r="O64" s="342"/>
      <c r="P64" s="343">
        <f t="shared" si="10"/>
        <v>309</v>
      </c>
      <c r="Q64" s="342">
        <v>309</v>
      </c>
      <c r="R64" s="342"/>
      <c r="S64" s="342"/>
      <c r="T64" s="342"/>
      <c r="U64" s="342">
        <f t="shared" si="13"/>
        <v>0</v>
      </c>
      <c r="V64" s="342"/>
      <c r="W64" s="342"/>
      <c r="X64" s="342"/>
      <c r="Y64" s="342"/>
      <c r="Z64" s="342"/>
      <c r="AA64" s="342"/>
      <c r="AB64" s="344">
        <f t="shared" si="12"/>
        <v>95.962732919254648</v>
      </c>
      <c r="AC64" s="344"/>
      <c r="AD64" s="344">
        <f t="shared" si="3"/>
        <v>95.962732919254648</v>
      </c>
      <c r="AE64" s="344"/>
      <c r="AF64" s="126"/>
      <c r="AG64" s="111"/>
      <c r="AH64" s="126"/>
    </row>
    <row r="65" spans="1:34" s="127" customFormat="1" ht="24.75" customHeight="1">
      <c r="A65" s="345" t="s">
        <v>431</v>
      </c>
      <c r="B65" s="479" t="s">
        <v>237</v>
      </c>
      <c r="C65" s="342">
        <f t="shared" si="8"/>
        <v>1116</v>
      </c>
      <c r="D65" s="342"/>
      <c r="E65" s="342">
        <f t="shared" si="9"/>
        <v>1116</v>
      </c>
      <c r="F65" s="342">
        <v>1116</v>
      </c>
      <c r="G65" s="342"/>
      <c r="H65" s="342"/>
      <c r="I65" s="342"/>
      <c r="J65" s="342"/>
      <c r="K65" s="342">
        <f t="shared" si="6"/>
        <v>0</v>
      </c>
      <c r="L65" s="342"/>
      <c r="M65" s="342"/>
      <c r="N65" s="342">
        <f t="shared" si="11"/>
        <v>1435.8530940000001</v>
      </c>
      <c r="O65" s="342"/>
      <c r="P65" s="343">
        <f t="shared" si="10"/>
        <v>1435.8530940000001</v>
      </c>
      <c r="Q65" s="342">
        <v>1435.8530940000001</v>
      </c>
      <c r="R65" s="342"/>
      <c r="S65" s="342"/>
      <c r="T65" s="342"/>
      <c r="U65" s="342">
        <f t="shared" si="13"/>
        <v>0</v>
      </c>
      <c r="V65" s="342"/>
      <c r="W65" s="342"/>
      <c r="X65" s="342"/>
      <c r="Y65" s="342"/>
      <c r="Z65" s="342"/>
      <c r="AA65" s="342"/>
      <c r="AB65" s="344">
        <f t="shared" si="12"/>
        <v>128.66067150537634</v>
      </c>
      <c r="AC65" s="344"/>
      <c r="AD65" s="344">
        <f t="shared" si="3"/>
        <v>128.66067150537634</v>
      </c>
      <c r="AE65" s="344"/>
      <c r="AF65" s="126"/>
      <c r="AG65" s="111"/>
      <c r="AH65" s="126"/>
    </row>
    <row r="66" spans="1:34" s="127" customFormat="1" ht="34.5" customHeight="1">
      <c r="A66" s="340" t="s">
        <v>432</v>
      </c>
      <c r="B66" s="480" t="s">
        <v>725</v>
      </c>
      <c r="C66" s="342">
        <f t="shared" si="8"/>
        <v>147</v>
      </c>
      <c r="D66" s="342"/>
      <c r="E66" s="342">
        <f t="shared" si="9"/>
        <v>147</v>
      </c>
      <c r="F66" s="342">
        <f>106+41</f>
        <v>147</v>
      </c>
      <c r="G66" s="342"/>
      <c r="H66" s="342"/>
      <c r="I66" s="342"/>
      <c r="J66" s="342"/>
      <c r="K66" s="342">
        <f t="shared" si="6"/>
        <v>0</v>
      </c>
      <c r="L66" s="342"/>
      <c r="M66" s="342"/>
      <c r="N66" s="342">
        <f t="shared" si="11"/>
        <v>73.015000000000001</v>
      </c>
      <c r="O66" s="342"/>
      <c r="P66" s="343">
        <f t="shared" si="10"/>
        <v>73.015000000000001</v>
      </c>
      <c r="Q66" s="342">
        <v>73.015000000000001</v>
      </c>
      <c r="R66" s="342"/>
      <c r="S66" s="342"/>
      <c r="T66" s="342"/>
      <c r="U66" s="342">
        <f t="shared" si="13"/>
        <v>0</v>
      </c>
      <c r="V66" s="342"/>
      <c r="W66" s="342"/>
      <c r="X66" s="342"/>
      <c r="Y66" s="342"/>
      <c r="Z66" s="342"/>
      <c r="AA66" s="342"/>
      <c r="AB66" s="344">
        <f t="shared" si="12"/>
        <v>49.670068027210888</v>
      </c>
      <c r="AC66" s="344"/>
      <c r="AD66" s="344">
        <f t="shared" si="3"/>
        <v>49.670068027210888</v>
      </c>
      <c r="AE66" s="344"/>
      <c r="AF66" s="126"/>
      <c r="AG66" s="111"/>
      <c r="AH66" s="126"/>
    </row>
    <row r="67" spans="1:34" s="127" customFormat="1" ht="21" customHeight="1">
      <c r="A67" s="340" t="s">
        <v>433</v>
      </c>
      <c r="B67" s="480" t="s">
        <v>238</v>
      </c>
      <c r="C67" s="342">
        <f t="shared" si="8"/>
        <v>43</v>
      </c>
      <c r="D67" s="342"/>
      <c r="E67" s="342">
        <f t="shared" si="9"/>
        <v>43</v>
      </c>
      <c r="F67" s="342">
        <v>43</v>
      </c>
      <c r="G67" s="342"/>
      <c r="H67" s="342"/>
      <c r="I67" s="342"/>
      <c r="J67" s="342"/>
      <c r="K67" s="342">
        <f t="shared" si="6"/>
        <v>0</v>
      </c>
      <c r="L67" s="342"/>
      <c r="M67" s="342"/>
      <c r="N67" s="342">
        <f t="shared" si="11"/>
        <v>17.734999999999999</v>
      </c>
      <c r="O67" s="342"/>
      <c r="P67" s="343">
        <f t="shared" si="10"/>
        <v>17.734999999999999</v>
      </c>
      <c r="Q67" s="342">
        <v>17.734999999999999</v>
      </c>
      <c r="R67" s="342"/>
      <c r="S67" s="342"/>
      <c r="T67" s="342"/>
      <c r="U67" s="342">
        <f t="shared" si="13"/>
        <v>0</v>
      </c>
      <c r="V67" s="342"/>
      <c r="W67" s="342"/>
      <c r="X67" s="342"/>
      <c r="Y67" s="342"/>
      <c r="Z67" s="342"/>
      <c r="AA67" s="342"/>
      <c r="AB67" s="344">
        <f t="shared" si="12"/>
        <v>41.244186046511629</v>
      </c>
      <c r="AC67" s="344">
        <v>0</v>
      </c>
      <c r="AD67" s="344"/>
      <c r="AE67" s="344"/>
      <c r="AF67" s="126"/>
      <c r="AG67" s="111"/>
      <c r="AH67" s="126"/>
    </row>
    <row r="68" spans="1:34" s="127" customFormat="1" ht="25.5" customHeight="1">
      <c r="A68" s="345" t="s">
        <v>434</v>
      </c>
      <c r="B68" s="481" t="s">
        <v>239</v>
      </c>
      <c r="C68" s="342">
        <f t="shared" si="8"/>
        <v>343</v>
      </c>
      <c r="D68" s="342"/>
      <c r="E68" s="342">
        <f t="shared" si="9"/>
        <v>343</v>
      </c>
      <c r="F68" s="342">
        <v>343</v>
      </c>
      <c r="G68" s="342"/>
      <c r="H68" s="342"/>
      <c r="I68" s="342"/>
      <c r="J68" s="342"/>
      <c r="K68" s="342">
        <f t="shared" si="6"/>
        <v>0</v>
      </c>
      <c r="L68" s="342"/>
      <c r="M68" s="342"/>
      <c r="N68" s="342">
        <f t="shared" si="11"/>
        <v>287.07130000000001</v>
      </c>
      <c r="O68" s="342"/>
      <c r="P68" s="343">
        <f t="shared" si="10"/>
        <v>287.07130000000001</v>
      </c>
      <c r="Q68" s="342">
        <v>287.07130000000001</v>
      </c>
      <c r="R68" s="342"/>
      <c r="S68" s="342"/>
      <c r="T68" s="342"/>
      <c r="U68" s="342">
        <f t="shared" si="13"/>
        <v>0</v>
      </c>
      <c r="V68" s="342"/>
      <c r="W68" s="342"/>
      <c r="X68" s="342"/>
      <c r="Y68" s="342"/>
      <c r="Z68" s="342"/>
      <c r="AA68" s="342"/>
      <c r="AB68" s="344">
        <f t="shared" si="12"/>
        <v>83.694256559766757</v>
      </c>
      <c r="AC68" s="344">
        <v>0</v>
      </c>
      <c r="AD68" s="344">
        <f t="shared" si="3"/>
        <v>83.694256559766757</v>
      </c>
      <c r="AE68" s="344"/>
      <c r="AF68" s="126"/>
      <c r="AG68" s="111"/>
      <c r="AH68" s="126"/>
    </row>
    <row r="69" spans="1:34" s="127" customFormat="1" ht="25.5" customHeight="1">
      <c r="A69" s="340" t="s">
        <v>435</v>
      </c>
      <c r="B69" s="482" t="s">
        <v>240</v>
      </c>
      <c r="C69" s="342">
        <f t="shared" si="8"/>
        <v>1870</v>
      </c>
      <c r="D69" s="342"/>
      <c r="E69" s="342">
        <f t="shared" si="9"/>
        <v>1870</v>
      </c>
      <c r="F69" s="342">
        <v>1835</v>
      </c>
      <c r="G69" s="342"/>
      <c r="H69" s="342">
        <v>35</v>
      </c>
      <c r="I69" s="342"/>
      <c r="J69" s="342"/>
      <c r="K69" s="342">
        <f t="shared" si="6"/>
        <v>0</v>
      </c>
      <c r="L69" s="342"/>
      <c r="M69" s="342"/>
      <c r="N69" s="342">
        <f t="shared" si="11"/>
        <v>2020.4</v>
      </c>
      <c r="O69" s="342"/>
      <c r="P69" s="343">
        <f t="shared" si="10"/>
        <v>2020.4</v>
      </c>
      <c r="Q69" s="342">
        <v>2020.4</v>
      </c>
      <c r="R69" s="342"/>
      <c r="S69" s="342"/>
      <c r="T69" s="342"/>
      <c r="U69" s="342">
        <f t="shared" si="13"/>
        <v>0</v>
      </c>
      <c r="V69" s="342"/>
      <c r="W69" s="342"/>
      <c r="X69" s="342"/>
      <c r="Y69" s="342"/>
      <c r="Z69" s="342"/>
      <c r="AA69" s="342"/>
      <c r="AB69" s="344">
        <f t="shared" si="12"/>
        <v>108.04278074866311</v>
      </c>
      <c r="AC69" s="344">
        <v>0</v>
      </c>
      <c r="AD69" s="344">
        <f t="shared" si="3"/>
        <v>108.04278074866311</v>
      </c>
      <c r="AE69" s="344"/>
      <c r="AF69" s="126"/>
      <c r="AG69" s="111"/>
      <c r="AH69" s="126"/>
    </row>
    <row r="70" spans="1:34" s="127" customFormat="1" ht="25.5" customHeight="1">
      <c r="A70" s="345" t="s">
        <v>436</v>
      </c>
      <c r="B70" s="481" t="s">
        <v>692</v>
      </c>
      <c r="C70" s="342">
        <f t="shared" si="8"/>
        <v>1509</v>
      </c>
      <c r="D70" s="342"/>
      <c r="E70" s="342">
        <f t="shared" si="9"/>
        <v>1509</v>
      </c>
      <c r="F70" s="342">
        <v>1509</v>
      </c>
      <c r="G70" s="342"/>
      <c r="H70" s="342"/>
      <c r="I70" s="342"/>
      <c r="J70" s="342"/>
      <c r="K70" s="342">
        <f t="shared" si="6"/>
        <v>0</v>
      </c>
      <c r="L70" s="342"/>
      <c r="M70" s="342"/>
      <c r="N70" s="342">
        <f t="shared" si="11"/>
        <v>1993.2980789999997</v>
      </c>
      <c r="O70" s="342"/>
      <c r="P70" s="343">
        <f t="shared" si="10"/>
        <v>1514.4324969999998</v>
      </c>
      <c r="Q70" s="342">
        <f>1993.298079-478.865582</f>
        <v>1514.4324969999998</v>
      </c>
      <c r="R70" s="342"/>
      <c r="S70" s="342"/>
      <c r="T70" s="342"/>
      <c r="U70" s="342">
        <f t="shared" si="13"/>
        <v>478.86558200000002</v>
      </c>
      <c r="V70" s="342"/>
      <c r="W70" s="342">
        <v>478.86558200000002</v>
      </c>
      <c r="X70" s="342"/>
      <c r="Y70" s="342"/>
      <c r="Z70" s="342"/>
      <c r="AA70" s="342"/>
      <c r="AB70" s="344">
        <f t="shared" si="12"/>
        <v>132.09397475149103</v>
      </c>
      <c r="AC70" s="344">
        <v>0</v>
      </c>
      <c r="AD70" s="344"/>
      <c r="AE70" s="344"/>
      <c r="AF70" s="126"/>
      <c r="AG70" s="111"/>
      <c r="AH70" s="126"/>
    </row>
    <row r="71" spans="1:34" s="127" customFormat="1" ht="22.5" customHeight="1">
      <c r="A71" s="340" t="s">
        <v>437</v>
      </c>
      <c r="B71" s="479" t="s">
        <v>242</v>
      </c>
      <c r="C71" s="342">
        <f t="shared" si="8"/>
        <v>65</v>
      </c>
      <c r="D71" s="342"/>
      <c r="E71" s="342">
        <f t="shared" si="9"/>
        <v>65</v>
      </c>
      <c r="F71" s="342">
        <v>65</v>
      </c>
      <c r="G71" s="342"/>
      <c r="H71" s="342"/>
      <c r="I71" s="342"/>
      <c r="J71" s="342"/>
      <c r="K71" s="342">
        <f t="shared" si="6"/>
        <v>0</v>
      </c>
      <c r="L71" s="342"/>
      <c r="M71" s="342"/>
      <c r="N71" s="342">
        <f t="shared" si="11"/>
        <v>58</v>
      </c>
      <c r="O71" s="342"/>
      <c r="P71" s="343">
        <f t="shared" si="10"/>
        <v>58</v>
      </c>
      <c r="Q71" s="342">
        <v>58</v>
      </c>
      <c r="R71" s="342"/>
      <c r="S71" s="342"/>
      <c r="T71" s="342"/>
      <c r="U71" s="342">
        <f t="shared" si="13"/>
        <v>0</v>
      </c>
      <c r="V71" s="342"/>
      <c r="W71" s="342"/>
      <c r="X71" s="342"/>
      <c r="Y71" s="342"/>
      <c r="Z71" s="342"/>
      <c r="AA71" s="342"/>
      <c r="AB71" s="344">
        <f t="shared" si="12"/>
        <v>89.230769230769226</v>
      </c>
      <c r="AC71" s="344">
        <v>0</v>
      </c>
      <c r="AD71" s="344">
        <f t="shared" si="3"/>
        <v>89.230769230769226</v>
      </c>
      <c r="AE71" s="344"/>
      <c r="AF71" s="126"/>
      <c r="AG71" s="111"/>
      <c r="AH71" s="126"/>
    </row>
    <row r="72" spans="1:34" s="127" customFormat="1" ht="33.75" customHeight="1">
      <c r="A72" s="345" t="s">
        <v>438</v>
      </c>
      <c r="B72" s="480" t="s">
        <v>243</v>
      </c>
      <c r="C72" s="342">
        <f t="shared" si="8"/>
        <v>0</v>
      </c>
      <c r="D72" s="342"/>
      <c r="E72" s="342">
        <f t="shared" si="9"/>
        <v>0</v>
      </c>
      <c r="F72" s="342"/>
      <c r="G72" s="342"/>
      <c r="H72" s="342"/>
      <c r="I72" s="342"/>
      <c r="J72" s="342"/>
      <c r="K72" s="342">
        <f t="shared" si="6"/>
        <v>0</v>
      </c>
      <c r="L72" s="342"/>
      <c r="M72" s="342"/>
      <c r="N72" s="342">
        <f t="shared" si="11"/>
        <v>56.51896</v>
      </c>
      <c r="O72" s="342"/>
      <c r="P72" s="343">
        <f t="shared" si="10"/>
        <v>56.51896</v>
      </c>
      <c r="Q72" s="342"/>
      <c r="R72" s="342">
        <v>56.51896</v>
      </c>
      <c r="S72" s="342"/>
      <c r="T72" s="342"/>
      <c r="U72" s="342">
        <f t="shared" si="13"/>
        <v>0</v>
      </c>
      <c r="V72" s="342"/>
      <c r="W72" s="342"/>
      <c r="X72" s="342"/>
      <c r="Y72" s="342"/>
      <c r="Z72" s="342"/>
      <c r="AA72" s="342"/>
      <c r="AB72" s="344"/>
      <c r="AC72" s="344">
        <v>0</v>
      </c>
      <c r="AD72" s="344"/>
      <c r="AE72" s="344"/>
      <c r="AF72" s="126"/>
      <c r="AG72" s="111"/>
      <c r="AH72" s="126"/>
    </row>
    <row r="73" spans="1:34" s="127" customFormat="1" ht="35.25" customHeight="1">
      <c r="A73" s="340" t="s">
        <v>439</v>
      </c>
      <c r="B73" s="479" t="s">
        <v>727</v>
      </c>
      <c r="C73" s="342">
        <f t="shared" si="8"/>
        <v>21260.417561999988</v>
      </c>
      <c r="D73" s="342">
        <f>335401-314194.582438</f>
        <v>21206.417561999988</v>
      </c>
      <c r="E73" s="342">
        <f t="shared" si="9"/>
        <v>54</v>
      </c>
      <c r="F73" s="342">
        <f>34+20</f>
        <v>54</v>
      </c>
      <c r="G73" s="342"/>
      <c r="H73" s="342"/>
      <c r="I73" s="342"/>
      <c r="J73" s="342"/>
      <c r="K73" s="342">
        <f t="shared" si="6"/>
        <v>0</v>
      </c>
      <c r="L73" s="342"/>
      <c r="M73" s="342"/>
      <c r="N73" s="342">
        <f t="shared" si="11"/>
        <v>3773.3762499999998</v>
      </c>
      <c r="O73" s="342">
        <f>3692.31425-22.938</f>
        <v>3669.3762499999998</v>
      </c>
      <c r="P73" s="343">
        <f t="shared" si="10"/>
        <v>104</v>
      </c>
      <c r="Q73" s="342"/>
      <c r="R73" s="342">
        <v>104</v>
      </c>
      <c r="S73" s="342"/>
      <c r="T73" s="342"/>
      <c r="U73" s="342">
        <f t="shared" si="13"/>
        <v>0</v>
      </c>
      <c r="V73" s="342"/>
      <c r="W73" s="342"/>
      <c r="X73" s="342"/>
      <c r="Y73" s="342"/>
      <c r="Z73" s="342"/>
      <c r="AA73" s="342"/>
      <c r="AB73" s="344">
        <f t="shared" si="12"/>
        <v>17.748363779761224</v>
      </c>
      <c r="AC73" s="344">
        <f t="shared" si="12"/>
        <v>17.303140614260069</v>
      </c>
      <c r="AD73" s="344"/>
      <c r="AE73" s="344"/>
      <c r="AF73" s="126"/>
      <c r="AG73" s="111"/>
      <c r="AH73" s="126"/>
    </row>
    <row r="74" spans="1:34" s="127" customFormat="1" ht="30" customHeight="1">
      <c r="A74" s="345" t="s">
        <v>440</v>
      </c>
      <c r="B74" s="479" t="s">
        <v>693</v>
      </c>
      <c r="C74" s="342">
        <f t="shared" si="8"/>
        <v>375</v>
      </c>
      <c r="D74" s="342"/>
      <c r="E74" s="342">
        <f t="shared" si="9"/>
        <v>375</v>
      </c>
      <c r="F74" s="342">
        <v>375</v>
      </c>
      <c r="G74" s="342"/>
      <c r="H74" s="342"/>
      <c r="I74" s="342"/>
      <c r="J74" s="342"/>
      <c r="K74" s="342">
        <f t="shared" si="6"/>
        <v>0</v>
      </c>
      <c r="L74" s="342"/>
      <c r="M74" s="342"/>
      <c r="N74" s="342">
        <f t="shared" si="11"/>
        <v>370.78577899999999</v>
      </c>
      <c r="O74" s="342"/>
      <c r="P74" s="343">
        <f t="shared" si="10"/>
        <v>370.78577899999999</v>
      </c>
      <c r="Q74" s="342">
        <v>370.78577899999999</v>
      </c>
      <c r="R74" s="342"/>
      <c r="S74" s="342"/>
      <c r="T74" s="342"/>
      <c r="U74" s="342">
        <f t="shared" si="13"/>
        <v>0</v>
      </c>
      <c r="V74" s="342"/>
      <c r="W74" s="342"/>
      <c r="X74" s="342"/>
      <c r="Y74" s="342"/>
      <c r="Z74" s="342"/>
      <c r="AA74" s="342"/>
      <c r="AB74" s="344">
        <f t="shared" si="12"/>
        <v>98.876207733333331</v>
      </c>
      <c r="AC74" s="344">
        <v>0</v>
      </c>
      <c r="AD74" s="344"/>
      <c r="AE74" s="344"/>
      <c r="AF74" s="126"/>
      <c r="AG74" s="111"/>
      <c r="AH74" s="126"/>
    </row>
    <row r="75" spans="1:34" s="127" customFormat="1" ht="21" customHeight="1">
      <c r="A75" s="340" t="s">
        <v>441</v>
      </c>
      <c r="B75" s="479" t="s">
        <v>471</v>
      </c>
      <c r="C75" s="342">
        <f t="shared" si="8"/>
        <v>200</v>
      </c>
      <c r="D75" s="342"/>
      <c r="E75" s="342">
        <f t="shared" si="9"/>
        <v>200</v>
      </c>
      <c r="F75" s="342">
        <v>200</v>
      </c>
      <c r="G75" s="342"/>
      <c r="H75" s="342"/>
      <c r="I75" s="342"/>
      <c r="J75" s="342"/>
      <c r="K75" s="342">
        <f t="shared" si="6"/>
        <v>0</v>
      </c>
      <c r="L75" s="342"/>
      <c r="M75" s="342"/>
      <c r="N75" s="342">
        <f t="shared" si="11"/>
        <v>180</v>
      </c>
      <c r="O75" s="342"/>
      <c r="P75" s="343">
        <f t="shared" si="10"/>
        <v>180</v>
      </c>
      <c r="Q75" s="342"/>
      <c r="R75" s="342">
        <v>180</v>
      </c>
      <c r="S75" s="342"/>
      <c r="T75" s="342"/>
      <c r="U75" s="342">
        <f t="shared" si="13"/>
        <v>0</v>
      </c>
      <c r="V75" s="342"/>
      <c r="W75" s="342"/>
      <c r="X75" s="342"/>
      <c r="Y75" s="342"/>
      <c r="Z75" s="342"/>
      <c r="AA75" s="342"/>
      <c r="AB75" s="344">
        <f t="shared" si="12"/>
        <v>90</v>
      </c>
      <c r="AC75" s="344"/>
      <c r="AD75" s="344">
        <f t="shared" ref="AD75:AD112" si="14">P75/E75%</f>
        <v>90</v>
      </c>
      <c r="AE75" s="344"/>
      <c r="AF75" s="126"/>
      <c r="AG75" s="111"/>
      <c r="AH75" s="126"/>
    </row>
    <row r="76" spans="1:34" s="127" customFormat="1" ht="24.75" customHeight="1">
      <c r="A76" s="345" t="s">
        <v>442</v>
      </c>
      <c r="B76" s="479" t="s">
        <v>694</v>
      </c>
      <c r="C76" s="342">
        <f t="shared" si="8"/>
        <v>60</v>
      </c>
      <c r="D76" s="342"/>
      <c r="E76" s="342">
        <f t="shared" si="9"/>
        <v>60</v>
      </c>
      <c r="F76" s="342">
        <v>60</v>
      </c>
      <c r="G76" s="342"/>
      <c r="H76" s="342"/>
      <c r="I76" s="342"/>
      <c r="J76" s="342"/>
      <c r="K76" s="342">
        <f t="shared" si="6"/>
        <v>0</v>
      </c>
      <c r="L76" s="342"/>
      <c r="M76" s="342"/>
      <c r="N76" s="342">
        <f t="shared" si="11"/>
        <v>0</v>
      </c>
      <c r="O76" s="342"/>
      <c r="P76" s="343">
        <f t="shared" si="10"/>
        <v>0</v>
      </c>
      <c r="Q76" s="342"/>
      <c r="R76" s="342"/>
      <c r="S76" s="342"/>
      <c r="T76" s="342"/>
      <c r="U76" s="342">
        <f t="shared" si="13"/>
        <v>0</v>
      </c>
      <c r="V76" s="342"/>
      <c r="W76" s="342"/>
      <c r="X76" s="342"/>
      <c r="Y76" s="342"/>
      <c r="Z76" s="342"/>
      <c r="AA76" s="342"/>
      <c r="AB76" s="344"/>
      <c r="AC76" s="344"/>
      <c r="AD76" s="344"/>
      <c r="AE76" s="344"/>
      <c r="AF76" s="126"/>
      <c r="AG76" s="111"/>
      <c r="AH76" s="126"/>
    </row>
    <row r="77" spans="1:34" s="127" customFormat="1" ht="24.75" customHeight="1">
      <c r="A77" s="340" t="s">
        <v>443</v>
      </c>
      <c r="B77" s="481" t="s">
        <v>695</v>
      </c>
      <c r="C77" s="342">
        <f t="shared" si="8"/>
        <v>229.610626</v>
      </c>
      <c r="D77" s="342"/>
      <c r="E77" s="342">
        <f t="shared" si="9"/>
        <v>229.610626</v>
      </c>
      <c r="F77" s="342">
        <v>229.610626</v>
      </c>
      <c r="G77" s="342"/>
      <c r="H77" s="342"/>
      <c r="I77" s="342"/>
      <c r="J77" s="342"/>
      <c r="K77" s="342">
        <f t="shared" si="6"/>
        <v>0</v>
      </c>
      <c r="L77" s="342"/>
      <c r="M77" s="342"/>
      <c r="N77" s="342">
        <f t="shared" si="11"/>
        <v>285</v>
      </c>
      <c r="O77" s="342"/>
      <c r="P77" s="343">
        <f t="shared" si="10"/>
        <v>285</v>
      </c>
      <c r="Q77" s="342"/>
      <c r="R77" s="342">
        <v>285</v>
      </c>
      <c r="S77" s="342"/>
      <c r="T77" s="342"/>
      <c r="U77" s="342">
        <f t="shared" si="13"/>
        <v>0</v>
      </c>
      <c r="V77" s="342"/>
      <c r="W77" s="342"/>
      <c r="X77" s="342"/>
      <c r="Y77" s="342"/>
      <c r="Z77" s="342"/>
      <c r="AA77" s="342"/>
      <c r="AB77" s="344">
        <f t="shared" si="12"/>
        <v>124.12317537952271</v>
      </c>
      <c r="AC77" s="344"/>
      <c r="AD77" s="344">
        <f t="shared" si="14"/>
        <v>124.12317537952271</v>
      </c>
      <c r="AE77" s="344"/>
      <c r="AF77" s="126"/>
      <c r="AG77" s="111"/>
      <c r="AH77" s="126"/>
    </row>
    <row r="78" spans="1:34" s="127" customFormat="1" ht="24.75" customHeight="1">
      <c r="A78" s="345" t="s">
        <v>444</v>
      </c>
      <c r="B78" s="479" t="s">
        <v>284</v>
      </c>
      <c r="C78" s="342">
        <f t="shared" si="8"/>
        <v>103</v>
      </c>
      <c r="D78" s="342"/>
      <c r="E78" s="342">
        <f t="shared" si="9"/>
        <v>103</v>
      </c>
      <c r="F78" s="342">
        <v>103</v>
      </c>
      <c r="G78" s="342"/>
      <c r="H78" s="342"/>
      <c r="I78" s="342"/>
      <c r="J78" s="342"/>
      <c r="K78" s="342">
        <f t="shared" ref="K78:K120" si="15">L78+M78</f>
        <v>0</v>
      </c>
      <c r="L78" s="342"/>
      <c r="M78" s="342"/>
      <c r="N78" s="342">
        <f t="shared" si="11"/>
        <v>114</v>
      </c>
      <c r="O78" s="342"/>
      <c r="P78" s="343">
        <f t="shared" si="10"/>
        <v>114</v>
      </c>
      <c r="Q78" s="342"/>
      <c r="R78" s="342">
        <v>114</v>
      </c>
      <c r="S78" s="342"/>
      <c r="T78" s="342"/>
      <c r="U78" s="342">
        <f t="shared" si="13"/>
        <v>0</v>
      </c>
      <c r="V78" s="342"/>
      <c r="W78" s="342"/>
      <c r="X78" s="342"/>
      <c r="Y78" s="342"/>
      <c r="Z78" s="342"/>
      <c r="AA78" s="342"/>
      <c r="AB78" s="344"/>
      <c r="AC78" s="344"/>
      <c r="AD78" s="344"/>
      <c r="AE78" s="344"/>
      <c r="AF78" s="126"/>
      <c r="AG78" s="111"/>
      <c r="AH78" s="126"/>
    </row>
    <row r="79" spans="1:34" s="127" customFormat="1" ht="24.75" customHeight="1">
      <c r="A79" s="340" t="s">
        <v>445</v>
      </c>
      <c r="B79" s="479" t="s">
        <v>285</v>
      </c>
      <c r="C79" s="342">
        <f t="shared" ref="C79:C114" si="16">D79+E79+I79+J79+K79</f>
        <v>182.876451</v>
      </c>
      <c r="D79" s="342"/>
      <c r="E79" s="342">
        <f t="shared" ref="E79:E96" si="17">F79+G79+H79</f>
        <v>182.876451</v>
      </c>
      <c r="F79" s="342">
        <v>182.876451</v>
      </c>
      <c r="G79" s="342"/>
      <c r="H79" s="342"/>
      <c r="I79" s="342"/>
      <c r="J79" s="342"/>
      <c r="K79" s="342">
        <f t="shared" si="15"/>
        <v>0</v>
      </c>
      <c r="L79" s="342"/>
      <c r="M79" s="342"/>
      <c r="N79" s="342">
        <f t="shared" si="11"/>
        <v>3431.3844800000002</v>
      </c>
      <c r="O79" s="342"/>
      <c r="P79" s="343">
        <f t="shared" ref="P79:P96" si="18">Q79+R79</f>
        <v>177.64148000000023</v>
      </c>
      <c r="Q79" s="342"/>
      <c r="R79" s="342">
        <f>3431.38448-3253.743</f>
        <v>177.64148000000023</v>
      </c>
      <c r="S79" s="342"/>
      <c r="T79" s="342"/>
      <c r="U79" s="342">
        <f t="shared" si="13"/>
        <v>3253.7429999999999</v>
      </c>
      <c r="V79" s="342"/>
      <c r="W79" s="342">
        <v>3253.7429999999999</v>
      </c>
      <c r="X79" s="342"/>
      <c r="Y79" s="342"/>
      <c r="Z79" s="342"/>
      <c r="AA79" s="342"/>
      <c r="AB79" s="344"/>
      <c r="AC79" s="344"/>
      <c r="AD79" s="344"/>
      <c r="AE79" s="344"/>
      <c r="AF79" s="126"/>
      <c r="AG79" s="111"/>
      <c r="AH79" s="126"/>
    </row>
    <row r="80" spans="1:34" s="127" customFormat="1" ht="24.75" customHeight="1">
      <c r="A80" s="345" t="s">
        <v>446</v>
      </c>
      <c r="B80" s="479" t="s">
        <v>286</v>
      </c>
      <c r="C80" s="342">
        <f t="shared" si="16"/>
        <v>104</v>
      </c>
      <c r="D80" s="342"/>
      <c r="E80" s="342">
        <f t="shared" si="17"/>
        <v>104</v>
      </c>
      <c r="F80" s="342">
        <v>104</v>
      </c>
      <c r="G80" s="342"/>
      <c r="H80" s="342"/>
      <c r="I80" s="342"/>
      <c r="J80" s="342"/>
      <c r="K80" s="342">
        <f t="shared" si="15"/>
        <v>0</v>
      </c>
      <c r="L80" s="342"/>
      <c r="M80" s="342"/>
      <c r="N80" s="342">
        <f t="shared" ref="N80:N91" si="19">O80+P80+S80+T80+U80</f>
        <v>4375</v>
      </c>
      <c r="O80" s="342"/>
      <c r="P80" s="343">
        <f t="shared" si="18"/>
        <v>108</v>
      </c>
      <c r="Q80" s="342"/>
      <c r="R80" s="342">
        <f>4375-4267</f>
        <v>108</v>
      </c>
      <c r="S80" s="342"/>
      <c r="T80" s="342"/>
      <c r="U80" s="342">
        <f t="shared" si="13"/>
        <v>4267</v>
      </c>
      <c r="V80" s="342"/>
      <c r="W80" s="342">
        <v>4267</v>
      </c>
      <c r="X80" s="342"/>
      <c r="Y80" s="342"/>
      <c r="Z80" s="342"/>
      <c r="AA80" s="342"/>
      <c r="AB80" s="344"/>
      <c r="AC80" s="344"/>
      <c r="AD80" s="344"/>
      <c r="AE80" s="344"/>
      <c r="AF80" s="126"/>
      <c r="AG80" s="111"/>
      <c r="AH80" s="126"/>
    </row>
    <row r="81" spans="1:34" s="127" customFormat="1" ht="24.75" customHeight="1">
      <c r="A81" s="340" t="s">
        <v>447</v>
      </c>
      <c r="B81" s="479" t="s">
        <v>287</v>
      </c>
      <c r="C81" s="342">
        <f t="shared" si="16"/>
        <v>108</v>
      </c>
      <c r="D81" s="342"/>
      <c r="E81" s="342">
        <f t="shared" si="17"/>
        <v>108</v>
      </c>
      <c r="F81" s="342">
        <v>108</v>
      </c>
      <c r="G81" s="342"/>
      <c r="H81" s="342"/>
      <c r="I81" s="342"/>
      <c r="J81" s="342"/>
      <c r="K81" s="342">
        <f t="shared" si="15"/>
        <v>0</v>
      </c>
      <c r="L81" s="342"/>
      <c r="M81" s="342"/>
      <c r="N81" s="342">
        <f t="shared" si="19"/>
        <v>133</v>
      </c>
      <c r="O81" s="342"/>
      <c r="P81" s="343">
        <f t="shared" si="18"/>
        <v>133</v>
      </c>
      <c r="Q81" s="342"/>
      <c r="R81" s="342">
        <v>133</v>
      </c>
      <c r="S81" s="342"/>
      <c r="T81" s="342"/>
      <c r="U81" s="342">
        <f t="shared" si="13"/>
        <v>0</v>
      </c>
      <c r="V81" s="342"/>
      <c r="W81" s="342"/>
      <c r="X81" s="342"/>
      <c r="Y81" s="342"/>
      <c r="Z81" s="342"/>
      <c r="AA81" s="342"/>
      <c r="AB81" s="344"/>
      <c r="AC81" s="344"/>
      <c r="AD81" s="344"/>
      <c r="AE81" s="344"/>
      <c r="AF81" s="126"/>
      <c r="AG81" s="111"/>
      <c r="AH81" s="126"/>
    </row>
    <row r="82" spans="1:34" s="127" customFormat="1" ht="24.75" customHeight="1">
      <c r="A82" s="345" t="s">
        <v>448</v>
      </c>
      <c r="B82" s="479" t="s">
        <v>696</v>
      </c>
      <c r="C82" s="342">
        <f t="shared" si="16"/>
        <v>168.63617500000001</v>
      </c>
      <c r="D82" s="342"/>
      <c r="E82" s="342">
        <f t="shared" si="17"/>
        <v>168.63617500000001</v>
      </c>
      <c r="F82" s="342">
        <v>168.63617500000001</v>
      </c>
      <c r="G82" s="342"/>
      <c r="H82" s="342"/>
      <c r="I82" s="342"/>
      <c r="J82" s="342"/>
      <c r="K82" s="342">
        <f t="shared" si="15"/>
        <v>0</v>
      </c>
      <c r="L82" s="342"/>
      <c r="M82" s="342"/>
      <c r="N82" s="342">
        <f t="shared" si="19"/>
        <v>1873.9264499999999</v>
      </c>
      <c r="O82" s="342"/>
      <c r="P82" s="343">
        <f t="shared" si="18"/>
        <v>618</v>
      </c>
      <c r="Q82" s="342"/>
      <c r="R82" s="342">
        <f>1873.92645-1255.92645</f>
        <v>618</v>
      </c>
      <c r="S82" s="342"/>
      <c r="T82" s="342"/>
      <c r="U82" s="342">
        <f t="shared" si="13"/>
        <v>1255.9264499999999</v>
      </c>
      <c r="V82" s="342"/>
      <c r="W82" s="342">
        <v>1255.9264499999999</v>
      </c>
      <c r="X82" s="342"/>
      <c r="Y82" s="342"/>
      <c r="Z82" s="342"/>
      <c r="AA82" s="342"/>
      <c r="AB82" s="344"/>
      <c r="AC82" s="344"/>
      <c r="AD82" s="344">
        <f t="shared" si="14"/>
        <v>366.46941262751005</v>
      </c>
      <c r="AE82" s="344"/>
      <c r="AF82" s="126"/>
      <c r="AG82" s="111"/>
      <c r="AH82" s="126"/>
    </row>
    <row r="83" spans="1:34" s="127" customFormat="1" ht="24.75" customHeight="1">
      <c r="A83" s="340" t="s">
        <v>449</v>
      </c>
      <c r="B83" s="479" t="s">
        <v>288</v>
      </c>
      <c r="C83" s="342">
        <f t="shared" si="16"/>
        <v>100.68110299999999</v>
      </c>
      <c r="D83" s="342"/>
      <c r="E83" s="342">
        <f t="shared" si="17"/>
        <v>100.68110299999999</v>
      </c>
      <c r="F83" s="342">
        <v>100.68110299999999</v>
      </c>
      <c r="G83" s="342"/>
      <c r="H83" s="342"/>
      <c r="I83" s="342"/>
      <c r="J83" s="342"/>
      <c r="K83" s="342"/>
      <c r="L83" s="342"/>
      <c r="M83" s="342"/>
      <c r="N83" s="342">
        <f t="shared" si="19"/>
        <v>5610</v>
      </c>
      <c r="O83" s="342"/>
      <c r="P83" s="343">
        <f t="shared" si="18"/>
        <v>180</v>
      </c>
      <c r="Q83" s="342"/>
      <c r="R83" s="342">
        <f>5610-5430</f>
        <v>180</v>
      </c>
      <c r="S83" s="342"/>
      <c r="T83" s="342"/>
      <c r="U83" s="342">
        <f t="shared" si="13"/>
        <v>5430</v>
      </c>
      <c r="V83" s="342"/>
      <c r="W83" s="342">
        <v>5430</v>
      </c>
      <c r="X83" s="342"/>
      <c r="Y83" s="342"/>
      <c r="Z83" s="342"/>
      <c r="AA83" s="342"/>
      <c r="AB83" s="344"/>
      <c r="AC83" s="344"/>
      <c r="AD83" s="344">
        <f t="shared" si="14"/>
        <v>178.78230833446472</v>
      </c>
      <c r="AE83" s="344"/>
      <c r="AF83" s="126"/>
      <c r="AG83" s="111"/>
      <c r="AH83" s="126"/>
    </row>
    <row r="84" spans="1:34" s="127" customFormat="1" ht="24.75" customHeight="1">
      <c r="A84" s="345" t="s">
        <v>450</v>
      </c>
      <c r="B84" s="479" t="s">
        <v>697</v>
      </c>
      <c r="C84" s="342">
        <f t="shared" si="16"/>
        <v>1050</v>
      </c>
      <c r="D84" s="342"/>
      <c r="E84" s="342">
        <f t="shared" si="17"/>
        <v>1050</v>
      </c>
      <c r="F84" s="342">
        <v>1050</v>
      </c>
      <c r="G84" s="342"/>
      <c r="H84" s="342"/>
      <c r="I84" s="342"/>
      <c r="J84" s="342"/>
      <c r="K84" s="342"/>
      <c r="L84" s="342"/>
      <c r="M84" s="342"/>
      <c r="N84" s="342">
        <f t="shared" si="19"/>
        <v>606.30999999999995</v>
      </c>
      <c r="O84" s="342"/>
      <c r="P84" s="343">
        <f t="shared" si="18"/>
        <v>606.30999999999995</v>
      </c>
      <c r="Q84" s="342"/>
      <c r="R84" s="342">
        <v>606.30999999999995</v>
      </c>
      <c r="S84" s="342"/>
      <c r="T84" s="342"/>
      <c r="U84" s="342"/>
      <c r="V84" s="342"/>
      <c r="W84" s="342"/>
      <c r="X84" s="342"/>
      <c r="Y84" s="342"/>
      <c r="Z84" s="342"/>
      <c r="AA84" s="342"/>
      <c r="AB84" s="344"/>
      <c r="AC84" s="344"/>
      <c r="AD84" s="344">
        <f t="shared" si="14"/>
        <v>57.743809523809517</v>
      </c>
      <c r="AE84" s="344"/>
      <c r="AF84" s="126"/>
      <c r="AG84" s="111"/>
      <c r="AH84" s="126"/>
    </row>
    <row r="85" spans="1:34" s="127" customFormat="1" ht="24.75" customHeight="1">
      <c r="A85" s="340" t="s">
        <v>452</v>
      </c>
      <c r="B85" s="479" t="s">
        <v>698</v>
      </c>
      <c r="C85" s="342">
        <f t="shared" si="16"/>
        <v>1572</v>
      </c>
      <c r="D85" s="342"/>
      <c r="E85" s="342">
        <f t="shared" si="17"/>
        <v>1572</v>
      </c>
      <c r="F85" s="342">
        <v>1572</v>
      </c>
      <c r="G85" s="342"/>
      <c r="H85" s="342"/>
      <c r="I85" s="342"/>
      <c r="J85" s="342"/>
      <c r="K85" s="342"/>
      <c r="L85" s="342"/>
      <c r="M85" s="342"/>
      <c r="N85" s="342">
        <f t="shared" si="19"/>
        <v>2205</v>
      </c>
      <c r="O85" s="342"/>
      <c r="P85" s="343">
        <f t="shared" si="18"/>
        <v>2205</v>
      </c>
      <c r="Q85" s="342"/>
      <c r="R85" s="342">
        <v>2205</v>
      </c>
      <c r="S85" s="342"/>
      <c r="T85" s="342"/>
      <c r="U85" s="342"/>
      <c r="V85" s="342"/>
      <c r="W85" s="342"/>
      <c r="X85" s="342"/>
      <c r="Y85" s="342"/>
      <c r="Z85" s="342"/>
      <c r="AA85" s="342"/>
      <c r="AB85" s="344"/>
      <c r="AC85" s="344"/>
      <c r="AD85" s="344">
        <f t="shared" si="14"/>
        <v>140.26717557251908</v>
      </c>
      <c r="AE85" s="344"/>
      <c r="AF85" s="126"/>
      <c r="AG85" s="111"/>
      <c r="AH85" s="126"/>
    </row>
    <row r="86" spans="1:34" s="127" customFormat="1" ht="24.75" customHeight="1">
      <c r="A86" s="345" t="s">
        <v>453</v>
      </c>
      <c r="B86" s="479" t="s">
        <v>473</v>
      </c>
      <c r="C86" s="342">
        <f t="shared" si="16"/>
        <v>4697.3850869999997</v>
      </c>
      <c r="D86" s="342"/>
      <c r="E86" s="342">
        <f t="shared" si="17"/>
        <v>4697.3850869999997</v>
      </c>
      <c r="F86" s="342">
        <v>4697.3850869999997</v>
      </c>
      <c r="G86" s="342"/>
      <c r="H86" s="342"/>
      <c r="I86" s="342"/>
      <c r="J86" s="342"/>
      <c r="K86" s="342"/>
      <c r="L86" s="342"/>
      <c r="M86" s="342"/>
      <c r="N86" s="342">
        <f t="shared" si="19"/>
        <v>4845</v>
      </c>
      <c r="O86" s="342"/>
      <c r="P86" s="343">
        <f t="shared" si="18"/>
        <v>4845</v>
      </c>
      <c r="Q86" s="342"/>
      <c r="R86" s="342">
        <v>4845</v>
      </c>
      <c r="S86" s="342"/>
      <c r="T86" s="342"/>
      <c r="U86" s="342"/>
      <c r="V86" s="342"/>
      <c r="W86" s="342"/>
      <c r="X86" s="342"/>
      <c r="Y86" s="342"/>
      <c r="Z86" s="342"/>
      <c r="AA86" s="342"/>
      <c r="AB86" s="344"/>
      <c r="AC86" s="344"/>
      <c r="AD86" s="344">
        <f t="shared" si="14"/>
        <v>103.14249120023231</v>
      </c>
      <c r="AE86" s="344"/>
      <c r="AF86" s="126"/>
      <c r="AG86" s="111"/>
      <c r="AH86" s="126"/>
    </row>
    <row r="87" spans="1:34" s="127" customFormat="1" ht="24.75" customHeight="1">
      <c r="A87" s="340" t="s">
        <v>454</v>
      </c>
      <c r="B87" s="479" t="s">
        <v>699</v>
      </c>
      <c r="C87" s="342">
        <f t="shared" si="16"/>
        <v>5117.2488409999996</v>
      </c>
      <c r="D87" s="342"/>
      <c r="E87" s="342">
        <f t="shared" si="17"/>
        <v>5117.2488409999996</v>
      </c>
      <c r="F87" s="342">
        <v>5117.2488409999996</v>
      </c>
      <c r="G87" s="342"/>
      <c r="H87" s="342"/>
      <c r="I87" s="342"/>
      <c r="J87" s="342"/>
      <c r="K87" s="342"/>
      <c r="L87" s="342"/>
      <c r="M87" s="342"/>
      <c r="N87" s="342">
        <f t="shared" si="19"/>
        <v>6630</v>
      </c>
      <c r="O87" s="342"/>
      <c r="P87" s="343">
        <f t="shared" si="18"/>
        <v>6630</v>
      </c>
      <c r="Q87" s="342"/>
      <c r="R87" s="342">
        <v>6630</v>
      </c>
      <c r="S87" s="342"/>
      <c r="T87" s="342"/>
      <c r="U87" s="342"/>
      <c r="V87" s="342"/>
      <c r="W87" s="342"/>
      <c r="X87" s="342"/>
      <c r="Y87" s="342"/>
      <c r="Z87" s="342"/>
      <c r="AA87" s="342"/>
      <c r="AB87" s="344"/>
      <c r="AC87" s="344"/>
      <c r="AD87" s="344">
        <f t="shared" si="14"/>
        <v>129.56180568901905</v>
      </c>
      <c r="AE87" s="344"/>
      <c r="AF87" s="126"/>
      <c r="AG87" s="111"/>
      <c r="AH87" s="126"/>
    </row>
    <row r="88" spans="1:34" s="127" customFormat="1" ht="24.75" customHeight="1">
      <c r="A88" s="345" t="s">
        <v>455</v>
      </c>
      <c r="B88" s="479" t="s">
        <v>700</v>
      </c>
      <c r="C88" s="342">
        <f t="shared" si="16"/>
        <v>2487.6</v>
      </c>
      <c r="D88" s="342"/>
      <c r="E88" s="342">
        <f t="shared" si="17"/>
        <v>2487.6</v>
      </c>
      <c r="F88" s="342">
        <v>2487.6</v>
      </c>
      <c r="G88" s="342"/>
      <c r="H88" s="342"/>
      <c r="I88" s="342"/>
      <c r="J88" s="342"/>
      <c r="K88" s="342"/>
      <c r="L88" s="342"/>
      <c r="M88" s="342"/>
      <c r="N88" s="342">
        <f t="shared" si="19"/>
        <v>3636</v>
      </c>
      <c r="O88" s="342"/>
      <c r="P88" s="343">
        <f t="shared" si="18"/>
        <v>3636</v>
      </c>
      <c r="Q88" s="342"/>
      <c r="R88" s="342">
        <v>3636</v>
      </c>
      <c r="S88" s="342"/>
      <c r="T88" s="342"/>
      <c r="U88" s="342"/>
      <c r="V88" s="342"/>
      <c r="W88" s="342"/>
      <c r="X88" s="342"/>
      <c r="Y88" s="342"/>
      <c r="Z88" s="342"/>
      <c r="AA88" s="342"/>
      <c r="AB88" s="344"/>
      <c r="AC88" s="344"/>
      <c r="AD88" s="344">
        <f t="shared" si="14"/>
        <v>146.16497829232998</v>
      </c>
      <c r="AE88" s="344"/>
      <c r="AF88" s="126"/>
      <c r="AG88" s="111"/>
      <c r="AH88" s="126"/>
    </row>
    <row r="89" spans="1:34" s="127" customFormat="1" ht="24.75" customHeight="1">
      <c r="A89" s="345" t="s">
        <v>456</v>
      </c>
      <c r="B89" s="479" t="s">
        <v>711</v>
      </c>
      <c r="C89" s="342">
        <f t="shared" si="16"/>
        <v>3790</v>
      </c>
      <c r="D89" s="342"/>
      <c r="E89" s="342">
        <f t="shared" si="17"/>
        <v>3790</v>
      </c>
      <c r="F89" s="342"/>
      <c r="G89" s="342">
        <v>3790</v>
      </c>
      <c r="H89" s="342"/>
      <c r="I89" s="342"/>
      <c r="J89" s="342"/>
      <c r="K89" s="342"/>
      <c r="L89" s="342"/>
      <c r="M89" s="342"/>
      <c r="N89" s="342">
        <f t="shared" si="19"/>
        <v>0</v>
      </c>
      <c r="O89" s="342"/>
      <c r="P89" s="343">
        <f t="shared" si="18"/>
        <v>0</v>
      </c>
      <c r="Q89" s="342"/>
      <c r="R89" s="342"/>
      <c r="S89" s="342"/>
      <c r="T89" s="342"/>
      <c r="U89" s="342"/>
      <c r="V89" s="342"/>
      <c r="W89" s="342"/>
      <c r="X89" s="342"/>
      <c r="Y89" s="342"/>
      <c r="Z89" s="342"/>
      <c r="AA89" s="342"/>
      <c r="AB89" s="344"/>
      <c r="AC89" s="344"/>
      <c r="AD89" s="344">
        <f t="shared" si="14"/>
        <v>0</v>
      </c>
      <c r="AE89" s="344"/>
      <c r="AF89" s="126"/>
      <c r="AG89" s="111"/>
      <c r="AH89" s="126"/>
    </row>
    <row r="90" spans="1:34" s="127" customFormat="1" ht="24.75" customHeight="1">
      <c r="A90" s="345">
        <v>76</v>
      </c>
      <c r="B90" s="481" t="s">
        <v>241</v>
      </c>
      <c r="C90" s="342">
        <f t="shared" si="16"/>
        <v>0</v>
      </c>
      <c r="D90" s="342"/>
      <c r="E90" s="342">
        <f t="shared" si="17"/>
        <v>0</v>
      </c>
      <c r="F90" s="342"/>
      <c r="G90" s="342"/>
      <c r="H90" s="342"/>
      <c r="I90" s="342"/>
      <c r="J90" s="342"/>
      <c r="K90" s="342"/>
      <c r="L90" s="342"/>
      <c r="M90" s="342"/>
      <c r="N90" s="342">
        <f t="shared" si="19"/>
        <v>23.89</v>
      </c>
      <c r="O90" s="342"/>
      <c r="P90" s="343">
        <f t="shared" si="18"/>
        <v>23.89</v>
      </c>
      <c r="Q90" s="342">
        <v>23.89</v>
      </c>
      <c r="R90" s="342"/>
      <c r="S90" s="342"/>
      <c r="T90" s="342"/>
      <c r="U90" s="342"/>
      <c r="V90" s="342"/>
      <c r="W90" s="342"/>
      <c r="X90" s="342"/>
      <c r="Y90" s="342"/>
      <c r="Z90" s="342"/>
      <c r="AA90" s="342"/>
      <c r="AB90" s="344"/>
      <c r="AC90" s="344"/>
      <c r="AD90" s="344"/>
      <c r="AE90" s="344"/>
      <c r="AF90" s="126"/>
      <c r="AG90" s="111"/>
      <c r="AH90" s="126"/>
    </row>
    <row r="91" spans="1:34" s="127" customFormat="1" ht="36.75" customHeight="1">
      <c r="A91" s="345" t="s">
        <v>602</v>
      </c>
      <c r="B91" s="479" t="s">
        <v>854</v>
      </c>
      <c r="C91" s="342">
        <f t="shared" si="16"/>
        <v>7832</v>
      </c>
      <c r="D91" s="342">
        <v>7832</v>
      </c>
      <c r="E91" s="342">
        <f t="shared" si="17"/>
        <v>0</v>
      </c>
      <c r="F91" s="342"/>
      <c r="G91" s="342"/>
      <c r="H91" s="342"/>
      <c r="I91" s="342"/>
      <c r="J91" s="342"/>
      <c r="K91" s="342"/>
      <c r="L91" s="342"/>
      <c r="M91" s="342"/>
      <c r="N91" s="342">
        <f t="shared" si="19"/>
        <v>8649.7379999999994</v>
      </c>
      <c r="O91" s="342">
        <v>8649.7379999999994</v>
      </c>
      <c r="P91" s="343">
        <f t="shared" si="18"/>
        <v>0</v>
      </c>
      <c r="Q91" s="342"/>
      <c r="R91" s="342"/>
      <c r="S91" s="342"/>
      <c r="T91" s="342"/>
      <c r="U91" s="342"/>
      <c r="V91" s="342"/>
      <c r="W91" s="342"/>
      <c r="X91" s="342"/>
      <c r="Y91" s="342"/>
      <c r="Z91" s="342"/>
      <c r="AA91" s="342"/>
      <c r="AB91" s="344"/>
      <c r="AC91" s="344"/>
      <c r="AD91" s="344"/>
      <c r="AE91" s="344"/>
      <c r="AF91" s="126"/>
      <c r="AG91" s="111"/>
      <c r="AH91" s="126"/>
    </row>
    <row r="92" spans="1:34" s="127" customFormat="1" ht="24.75" customHeight="1">
      <c r="A92" s="345" t="s">
        <v>603</v>
      </c>
      <c r="B92" s="479" t="s">
        <v>855</v>
      </c>
      <c r="C92" s="342">
        <f t="shared" si="16"/>
        <v>0</v>
      </c>
      <c r="D92" s="342">
        <f>1375-1375</f>
        <v>0</v>
      </c>
      <c r="E92" s="342">
        <f t="shared" si="17"/>
        <v>0</v>
      </c>
      <c r="F92" s="342"/>
      <c r="G92" s="342"/>
      <c r="H92" s="342"/>
      <c r="I92" s="342"/>
      <c r="J92" s="342"/>
      <c r="K92" s="342"/>
      <c r="L92" s="342"/>
      <c r="M92" s="342"/>
      <c r="N92" s="342">
        <f>O92+P92</f>
        <v>964.68899999999996</v>
      </c>
      <c r="O92" s="342">
        <v>964.68899999999996</v>
      </c>
      <c r="P92" s="343">
        <f t="shared" si="18"/>
        <v>0</v>
      </c>
      <c r="Q92" s="342"/>
      <c r="R92" s="342"/>
      <c r="S92" s="342"/>
      <c r="T92" s="342"/>
      <c r="U92" s="342"/>
      <c r="V92" s="342"/>
      <c r="W92" s="342"/>
      <c r="X92" s="342"/>
      <c r="Y92" s="342"/>
      <c r="Z92" s="342"/>
      <c r="AA92" s="342"/>
      <c r="AB92" s="344"/>
      <c r="AC92" s="344"/>
      <c r="AD92" s="344"/>
      <c r="AE92" s="344"/>
      <c r="AF92" s="126"/>
      <c r="AG92" s="111"/>
      <c r="AH92" s="126"/>
    </row>
    <row r="93" spans="1:34" s="127" customFormat="1" ht="33" customHeight="1">
      <c r="A93" s="345" t="s">
        <v>704</v>
      </c>
      <c r="B93" s="479" t="s">
        <v>856</v>
      </c>
      <c r="C93" s="342">
        <f t="shared" si="16"/>
        <v>0</v>
      </c>
      <c r="D93" s="342"/>
      <c r="E93" s="342">
        <f t="shared" si="17"/>
        <v>0</v>
      </c>
      <c r="F93" s="342"/>
      <c r="G93" s="342"/>
      <c r="H93" s="342"/>
      <c r="I93" s="342"/>
      <c r="J93" s="342"/>
      <c r="K93" s="342"/>
      <c r="L93" s="342"/>
      <c r="M93" s="342"/>
      <c r="N93" s="342">
        <f t="shared" ref="N93:N95" si="20">O93+P93</f>
        <v>634.6</v>
      </c>
      <c r="O93" s="342">
        <v>634.6</v>
      </c>
      <c r="P93" s="343">
        <f t="shared" si="18"/>
        <v>0</v>
      </c>
      <c r="Q93" s="342"/>
      <c r="R93" s="342"/>
      <c r="S93" s="342"/>
      <c r="T93" s="342"/>
      <c r="U93" s="342"/>
      <c r="V93" s="342"/>
      <c r="W93" s="342"/>
      <c r="X93" s="342"/>
      <c r="Y93" s="342"/>
      <c r="Z93" s="342"/>
      <c r="AA93" s="342"/>
      <c r="AB93" s="344"/>
      <c r="AC93" s="344"/>
      <c r="AD93" s="344"/>
      <c r="AE93" s="344"/>
      <c r="AF93" s="126"/>
      <c r="AG93" s="111"/>
      <c r="AH93" s="126"/>
    </row>
    <row r="94" spans="1:34" s="127" customFormat="1" ht="31.5" customHeight="1">
      <c r="A94" s="345" t="s">
        <v>707</v>
      </c>
      <c r="B94" s="479" t="s">
        <v>857</v>
      </c>
      <c r="C94" s="342">
        <f t="shared" si="16"/>
        <v>0</v>
      </c>
      <c r="D94" s="342"/>
      <c r="E94" s="342">
        <f t="shared" si="17"/>
        <v>0</v>
      </c>
      <c r="F94" s="342"/>
      <c r="G94" s="342"/>
      <c r="H94" s="342"/>
      <c r="I94" s="342"/>
      <c r="J94" s="342"/>
      <c r="K94" s="342"/>
      <c r="L94" s="342"/>
      <c r="M94" s="342"/>
      <c r="N94" s="342">
        <f t="shared" si="20"/>
        <v>1754.4770000000001</v>
      </c>
      <c r="O94" s="342">
        <v>1754.4770000000001</v>
      </c>
      <c r="P94" s="343">
        <f t="shared" si="18"/>
        <v>0</v>
      </c>
      <c r="Q94" s="342"/>
      <c r="R94" s="342"/>
      <c r="S94" s="342"/>
      <c r="T94" s="342"/>
      <c r="U94" s="342"/>
      <c r="V94" s="342"/>
      <c r="W94" s="342"/>
      <c r="X94" s="342"/>
      <c r="Y94" s="342"/>
      <c r="Z94" s="342"/>
      <c r="AA94" s="342"/>
      <c r="AB94" s="344"/>
      <c r="AC94" s="344"/>
      <c r="AD94" s="344"/>
      <c r="AE94" s="344"/>
      <c r="AF94" s="126"/>
      <c r="AG94" s="111"/>
      <c r="AH94" s="126"/>
    </row>
    <row r="95" spans="1:34" s="127" customFormat="1" ht="65.25" customHeight="1">
      <c r="A95" s="345" t="s">
        <v>858</v>
      </c>
      <c r="B95" s="479" t="s">
        <v>859</v>
      </c>
      <c r="C95" s="342">
        <f t="shared" si="16"/>
        <v>0</v>
      </c>
      <c r="D95" s="342"/>
      <c r="E95" s="342">
        <f t="shared" si="17"/>
        <v>0</v>
      </c>
      <c r="F95" s="342"/>
      <c r="G95" s="342"/>
      <c r="H95" s="342"/>
      <c r="I95" s="342"/>
      <c r="J95" s="342"/>
      <c r="K95" s="342"/>
      <c r="L95" s="342"/>
      <c r="M95" s="342"/>
      <c r="N95" s="342">
        <f t="shared" si="20"/>
        <v>253.999548</v>
      </c>
      <c r="O95" s="342">
        <v>253.999548</v>
      </c>
      <c r="P95" s="343">
        <f t="shared" si="18"/>
        <v>0</v>
      </c>
      <c r="Q95" s="342"/>
      <c r="R95" s="342"/>
      <c r="S95" s="342"/>
      <c r="T95" s="342"/>
      <c r="U95" s="342"/>
      <c r="V95" s="342"/>
      <c r="W95" s="342"/>
      <c r="X95" s="342"/>
      <c r="Y95" s="342"/>
      <c r="Z95" s="342"/>
      <c r="AA95" s="342"/>
      <c r="AB95" s="344"/>
      <c r="AC95" s="344"/>
      <c r="AD95" s="344"/>
      <c r="AE95" s="344"/>
      <c r="AF95" s="126"/>
      <c r="AG95" s="111"/>
      <c r="AH95" s="126"/>
    </row>
    <row r="96" spans="1:34" s="127" customFormat="1" ht="24.75" customHeight="1">
      <c r="A96" s="345" t="s">
        <v>860</v>
      </c>
      <c r="B96" s="479"/>
      <c r="C96" s="342">
        <f t="shared" si="16"/>
        <v>0</v>
      </c>
      <c r="D96" s="342"/>
      <c r="E96" s="342">
        <f t="shared" si="17"/>
        <v>0</v>
      </c>
      <c r="F96" s="342"/>
      <c r="G96" s="342"/>
      <c r="H96" s="342"/>
      <c r="I96" s="342"/>
      <c r="J96" s="342"/>
      <c r="K96" s="342"/>
      <c r="L96" s="342"/>
      <c r="M96" s="342"/>
      <c r="N96" s="342"/>
      <c r="O96" s="342"/>
      <c r="P96" s="343">
        <f t="shared" si="18"/>
        <v>0</v>
      </c>
      <c r="Q96" s="342"/>
      <c r="R96" s="342"/>
      <c r="S96" s="342"/>
      <c r="T96" s="342"/>
      <c r="U96" s="342"/>
      <c r="V96" s="342"/>
      <c r="W96" s="342"/>
      <c r="X96" s="342"/>
      <c r="Y96" s="342"/>
      <c r="Z96" s="342"/>
      <c r="AA96" s="342"/>
      <c r="AB96" s="344"/>
      <c r="AC96" s="344"/>
      <c r="AD96" s="344"/>
      <c r="AE96" s="344"/>
      <c r="AF96" s="126"/>
      <c r="AG96" s="111"/>
      <c r="AH96" s="126"/>
    </row>
    <row r="97" spans="1:38" s="125" customFormat="1" ht="58.5" customHeight="1">
      <c r="A97" s="348" t="s">
        <v>457</v>
      </c>
      <c r="B97" s="483" t="s">
        <v>458</v>
      </c>
      <c r="C97" s="337">
        <f t="shared" si="16"/>
        <v>250866</v>
      </c>
      <c r="D97" s="337">
        <f>SUM(D98:D108)</f>
        <v>250866</v>
      </c>
      <c r="E97" s="337">
        <f t="shared" ref="E97" si="21">SUM(E98:E107)</f>
        <v>0</v>
      </c>
      <c r="F97" s="337"/>
      <c r="G97" s="337"/>
      <c r="H97" s="337"/>
      <c r="I97" s="337">
        <f>SUM(I98:I107)</f>
        <v>0</v>
      </c>
      <c r="J97" s="337">
        <f>SUM(J98:J107)</f>
        <v>0</v>
      </c>
      <c r="K97" s="337">
        <f t="shared" si="15"/>
        <v>0</v>
      </c>
      <c r="L97" s="337">
        <f>SUM(L98:L108)</f>
        <v>0</v>
      </c>
      <c r="M97" s="337">
        <f>SUM(M98:M107)</f>
        <v>0</v>
      </c>
      <c r="N97" s="337">
        <f>O97+P97+S97+T97+U97</f>
        <v>430343.50090400001</v>
      </c>
      <c r="O97" s="337">
        <f>SUM(O98:O108)</f>
        <v>430293.50090400001</v>
      </c>
      <c r="P97" s="337">
        <f t="shared" ref="P97:T97" si="22">SUM(P98:P108)</f>
        <v>0</v>
      </c>
      <c r="Q97" s="337">
        <f t="shared" si="22"/>
        <v>0</v>
      </c>
      <c r="R97" s="337">
        <f t="shared" si="22"/>
        <v>0</v>
      </c>
      <c r="S97" s="337">
        <f t="shared" si="22"/>
        <v>0</v>
      </c>
      <c r="T97" s="337">
        <f t="shared" si="22"/>
        <v>0</v>
      </c>
      <c r="U97" s="337">
        <f t="shared" ref="U97" si="23">SUM(U98:U107)</f>
        <v>50</v>
      </c>
      <c r="V97" s="337">
        <f>SUM(V98:V108)</f>
        <v>50</v>
      </c>
      <c r="W97" s="337"/>
      <c r="X97" s="337">
        <f t="shared" ref="X97:Z97" si="24">SUM(X98:X108)</f>
        <v>0</v>
      </c>
      <c r="Y97" s="337">
        <f t="shared" si="24"/>
        <v>0</v>
      </c>
      <c r="Z97" s="337">
        <f t="shared" si="24"/>
        <v>0</v>
      </c>
      <c r="AA97" s="337"/>
      <c r="AB97" s="344">
        <f t="shared" ref="AB97:AC118" si="25">N97/C97%</f>
        <v>171.54317480407869</v>
      </c>
      <c r="AC97" s="344">
        <f t="shared" si="25"/>
        <v>171.52324384492121</v>
      </c>
      <c r="AD97" s="344"/>
      <c r="AE97" s="344"/>
      <c r="AF97" s="126"/>
      <c r="AG97" s="111"/>
      <c r="AH97" s="126"/>
    </row>
    <row r="98" spans="1:38" s="127" customFormat="1">
      <c r="A98" s="349" t="s">
        <v>244</v>
      </c>
      <c r="B98" s="350" t="s">
        <v>459</v>
      </c>
      <c r="C98" s="342">
        <f t="shared" si="16"/>
        <v>28237</v>
      </c>
      <c r="D98" s="343">
        <v>28237</v>
      </c>
      <c r="E98" s="343"/>
      <c r="F98" s="343"/>
      <c r="G98" s="343"/>
      <c r="H98" s="343"/>
      <c r="I98" s="343"/>
      <c r="J98" s="343"/>
      <c r="K98" s="342">
        <f t="shared" si="15"/>
        <v>0</v>
      </c>
      <c r="L98" s="343"/>
      <c r="M98" s="343"/>
      <c r="N98" s="342">
        <f t="shared" ref="N98:N105" si="26">O98+P98+S98+T98+U98</f>
        <v>27237.413947000005</v>
      </c>
      <c r="O98" s="343">
        <v>27237.413947000005</v>
      </c>
      <c r="P98" s="343">
        <f t="shared" ref="P98:P107" si="27">Q98+R98</f>
        <v>0</v>
      </c>
      <c r="Q98" s="343"/>
      <c r="R98" s="343"/>
      <c r="S98" s="343"/>
      <c r="T98" s="343"/>
      <c r="U98" s="342">
        <f t="shared" ref="U98:U107" si="28">V98+W98</f>
        <v>0</v>
      </c>
      <c r="V98" s="343"/>
      <c r="W98" s="343"/>
      <c r="X98" s="342">
        <f t="shared" ref="X98:X107" si="29">Y98+Z98</f>
        <v>0</v>
      </c>
      <c r="Y98" s="342"/>
      <c r="Z98" s="342"/>
      <c r="AA98" s="342"/>
      <c r="AB98" s="344">
        <f t="shared" si="25"/>
        <v>96.460013269823293</v>
      </c>
      <c r="AC98" s="344">
        <f t="shared" si="25"/>
        <v>96.460013269823293</v>
      </c>
      <c r="AD98" s="344"/>
      <c r="AE98" s="344"/>
      <c r="AF98" s="126"/>
      <c r="AG98" s="111"/>
      <c r="AH98" s="126"/>
    </row>
    <row r="99" spans="1:38" s="127" customFormat="1">
      <c r="A99" s="349" t="s">
        <v>245</v>
      </c>
      <c r="B99" s="350" t="s">
        <v>460</v>
      </c>
      <c r="C99" s="342">
        <f t="shared" si="16"/>
        <v>1704</v>
      </c>
      <c r="D99" s="343">
        <v>1704</v>
      </c>
      <c r="E99" s="343"/>
      <c r="F99" s="343"/>
      <c r="G99" s="343"/>
      <c r="H99" s="343"/>
      <c r="I99" s="343"/>
      <c r="J99" s="343"/>
      <c r="K99" s="342">
        <f t="shared" si="15"/>
        <v>0</v>
      </c>
      <c r="L99" s="343"/>
      <c r="M99" s="343"/>
      <c r="N99" s="342">
        <f t="shared" si="26"/>
        <v>3648.3419999999996</v>
      </c>
      <c r="O99" s="343">
        <v>3648.3419999999996</v>
      </c>
      <c r="P99" s="343">
        <f t="shared" si="27"/>
        <v>0</v>
      </c>
      <c r="Q99" s="343"/>
      <c r="R99" s="343"/>
      <c r="S99" s="343"/>
      <c r="T99" s="343"/>
      <c r="U99" s="342">
        <f t="shared" si="28"/>
        <v>0</v>
      </c>
      <c r="V99" s="343"/>
      <c r="W99" s="343"/>
      <c r="X99" s="342">
        <f t="shared" si="29"/>
        <v>0</v>
      </c>
      <c r="Y99" s="342"/>
      <c r="Z99" s="342"/>
      <c r="AA99" s="342"/>
      <c r="AB99" s="344">
        <f t="shared" si="25"/>
        <v>214.10457746478872</v>
      </c>
      <c r="AC99" s="344">
        <f t="shared" si="25"/>
        <v>214.10457746478872</v>
      </c>
      <c r="AD99" s="344"/>
      <c r="AE99" s="344"/>
      <c r="AF99" s="126"/>
      <c r="AG99" s="111"/>
      <c r="AH99" s="126"/>
    </row>
    <row r="100" spans="1:38" s="127" customFormat="1">
      <c r="A100" s="349" t="s">
        <v>246</v>
      </c>
      <c r="B100" s="350" t="s">
        <v>273</v>
      </c>
      <c r="C100" s="342">
        <f t="shared" si="16"/>
        <v>16960</v>
      </c>
      <c r="D100" s="343">
        <v>16960</v>
      </c>
      <c r="E100" s="343"/>
      <c r="F100" s="343"/>
      <c r="G100" s="343"/>
      <c r="H100" s="343"/>
      <c r="I100" s="343"/>
      <c r="J100" s="343"/>
      <c r="K100" s="342">
        <f t="shared" si="15"/>
        <v>0</v>
      </c>
      <c r="L100" s="343"/>
      <c r="M100" s="343"/>
      <c r="N100" s="342">
        <f t="shared" si="26"/>
        <v>13952.163</v>
      </c>
      <c r="O100" s="343">
        <v>13902.163</v>
      </c>
      <c r="P100" s="343">
        <f t="shared" si="27"/>
        <v>0</v>
      </c>
      <c r="Q100" s="343"/>
      <c r="R100" s="343"/>
      <c r="S100" s="343"/>
      <c r="T100" s="343"/>
      <c r="U100" s="342">
        <f t="shared" si="28"/>
        <v>50</v>
      </c>
      <c r="V100" s="343">
        <v>50</v>
      </c>
      <c r="W100" s="343"/>
      <c r="X100" s="342">
        <f t="shared" si="29"/>
        <v>0</v>
      </c>
      <c r="Y100" s="342"/>
      <c r="Z100" s="342"/>
      <c r="AA100" s="342"/>
      <c r="AB100" s="344">
        <f t="shared" si="25"/>
        <v>82.265112028301886</v>
      </c>
      <c r="AC100" s="344">
        <f t="shared" si="25"/>
        <v>81.970300707547182</v>
      </c>
      <c r="AD100" s="344"/>
      <c r="AE100" s="344"/>
      <c r="AF100" s="126"/>
      <c r="AG100" s="111"/>
      <c r="AH100" s="126"/>
    </row>
    <row r="101" spans="1:38" s="127" customFormat="1">
      <c r="A101" s="349" t="s">
        <v>247</v>
      </c>
      <c r="B101" s="350" t="s">
        <v>275</v>
      </c>
      <c r="C101" s="342">
        <f t="shared" si="16"/>
        <v>80539</v>
      </c>
      <c r="D101" s="343">
        <v>80539</v>
      </c>
      <c r="E101" s="343"/>
      <c r="F101" s="343"/>
      <c r="G101" s="343"/>
      <c r="H101" s="343"/>
      <c r="I101" s="343"/>
      <c r="J101" s="343"/>
      <c r="K101" s="342">
        <f t="shared" si="15"/>
        <v>0</v>
      </c>
      <c r="L101" s="343"/>
      <c r="M101" s="343"/>
      <c r="N101" s="342">
        <f t="shared" si="26"/>
        <v>157098.47800000003</v>
      </c>
      <c r="O101" s="343">
        <v>157098.47800000003</v>
      </c>
      <c r="P101" s="343">
        <f t="shared" si="27"/>
        <v>0</v>
      </c>
      <c r="Q101" s="343"/>
      <c r="R101" s="343"/>
      <c r="S101" s="343"/>
      <c r="T101" s="343"/>
      <c r="U101" s="342">
        <f t="shared" si="28"/>
        <v>0</v>
      </c>
      <c r="V101" s="343"/>
      <c r="W101" s="343"/>
      <c r="X101" s="342">
        <f t="shared" si="29"/>
        <v>0</v>
      </c>
      <c r="Y101" s="342"/>
      <c r="Z101" s="342"/>
      <c r="AA101" s="342"/>
      <c r="AB101" s="344">
        <f t="shared" si="25"/>
        <v>195.0588882404798</v>
      </c>
      <c r="AC101" s="344">
        <f t="shared" si="25"/>
        <v>195.0588882404798</v>
      </c>
      <c r="AD101" s="344"/>
      <c r="AE101" s="344"/>
      <c r="AF101" s="126"/>
      <c r="AG101" s="111"/>
      <c r="AH101" s="126"/>
    </row>
    <row r="102" spans="1:38" s="127" customFormat="1">
      <c r="A102" s="349" t="s">
        <v>248</v>
      </c>
      <c r="B102" s="350" t="s">
        <v>461</v>
      </c>
      <c r="C102" s="342">
        <f t="shared" si="16"/>
        <v>50000</v>
      </c>
      <c r="D102" s="343">
        <v>50000</v>
      </c>
      <c r="E102" s="343"/>
      <c r="F102" s="343"/>
      <c r="G102" s="343"/>
      <c r="H102" s="343"/>
      <c r="I102" s="343"/>
      <c r="J102" s="343"/>
      <c r="K102" s="342">
        <f t="shared" si="15"/>
        <v>0</v>
      </c>
      <c r="L102" s="343"/>
      <c r="M102" s="343"/>
      <c r="N102" s="342">
        <f t="shared" si="26"/>
        <v>118483.125369</v>
      </c>
      <c r="O102" s="343">
        <v>118483.125369</v>
      </c>
      <c r="P102" s="343">
        <f t="shared" si="27"/>
        <v>0</v>
      </c>
      <c r="Q102" s="343"/>
      <c r="R102" s="343"/>
      <c r="S102" s="343"/>
      <c r="T102" s="343"/>
      <c r="U102" s="342">
        <f t="shared" si="28"/>
        <v>0</v>
      </c>
      <c r="V102" s="343"/>
      <c r="W102" s="343"/>
      <c r="X102" s="342">
        <f t="shared" si="29"/>
        <v>0</v>
      </c>
      <c r="Y102" s="342"/>
      <c r="Z102" s="342"/>
      <c r="AA102" s="342"/>
      <c r="AB102" s="344">
        <f t="shared" si="25"/>
        <v>236.96625073800001</v>
      </c>
      <c r="AC102" s="344">
        <f t="shared" si="25"/>
        <v>236.96625073800001</v>
      </c>
      <c r="AD102" s="344"/>
      <c r="AE102" s="344"/>
      <c r="AF102" s="126"/>
      <c r="AG102" s="111"/>
      <c r="AH102" s="126"/>
    </row>
    <row r="103" spans="1:38" s="127" customFormat="1">
      <c r="A103" s="349" t="s">
        <v>249</v>
      </c>
      <c r="B103" s="350" t="s">
        <v>274</v>
      </c>
      <c r="C103" s="342">
        <f t="shared" si="16"/>
        <v>14020</v>
      </c>
      <c r="D103" s="343">
        <v>14020</v>
      </c>
      <c r="E103" s="343"/>
      <c r="F103" s="343"/>
      <c r="G103" s="343"/>
      <c r="H103" s="343"/>
      <c r="I103" s="343"/>
      <c r="J103" s="343"/>
      <c r="K103" s="342">
        <f t="shared" si="15"/>
        <v>0</v>
      </c>
      <c r="L103" s="343"/>
      <c r="M103" s="343"/>
      <c r="N103" s="342">
        <f t="shared" si="26"/>
        <v>16281.129782</v>
      </c>
      <c r="O103" s="343">
        <v>16281.129782</v>
      </c>
      <c r="P103" s="343">
        <f t="shared" si="27"/>
        <v>0</v>
      </c>
      <c r="Q103" s="343"/>
      <c r="R103" s="343"/>
      <c r="S103" s="343"/>
      <c r="T103" s="343"/>
      <c r="U103" s="342">
        <f t="shared" si="28"/>
        <v>0</v>
      </c>
      <c r="V103" s="343"/>
      <c r="W103" s="343"/>
      <c r="X103" s="342">
        <f t="shared" si="29"/>
        <v>0</v>
      </c>
      <c r="Y103" s="342"/>
      <c r="Z103" s="342"/>
      <c r="AA103" s="342"/>
      <c r="AB103" s="344">
        <f t="shared" si="25"/>
        <v>116.12788717546363</v>
      </c>
      <c r="AC103" s="344">
        <f t="shared" si="25"/>
        <v>116.12788717546363</v>
      </c>
      <c r="AD103" s="344"/>
      <c r="AE103" s="344"/>
      <c r="AF103" s="126"/>
      <c r="AG103" s="111"/>
      <c r="AH103" s="126"/>
    </row>
    <row r="104" spans="1:38" s="127" customFormat="1">
      <c r="A104" s="349" t="s">
        <v>250</v>
      </c>
      <c r="B104" s="350" t="s">
        <v>223</v>
      </c>
      <c r="C104" s="342">
        <f t="shared" si="16"/>
        <v>11000</v>
      </c>
      <c r="D104" s="343">
        <v>11000</v>
      </c>
      <c r="E104" s="343"/>
      <c r="F104" s="343"/>
      <c r="G104" s="343"/>
      <c r="H104" s="343"/>
      <c r="I104" s="343"/>
      <c r="J104" s="343"/>
      <c r="K104" s="342">
        <f t="shared" si="15"/>
        <v>0</v>
      </c>
      <c r="L104" s="343"/>
      <c r="M104" s="343"/>
      <c r="N104" s="342">
        <f t="shared" si="26"/>
        <v>2498.2730000000001</v>
      </c>
      <c r="O104" s="343">
        <v>2498.2730000000001</v>
      </c>
      <c r="P104" s="343">
        <f t="shared" si="27"/>
        <v>0</v>
      </c>
      <c r="Q104" s="343"/>
      <c r="R104" s="343"/>
      <c r="S104" s="343"/>
      <c r="T104" s="343"/>
      <c r="U104" s="342">
        <f t="shared" si="28"/>
        <v>0</v>
      </c>
      <c r="V104" s="343"/>
      <c r="W104" s="343"/>
      <c r="X104" s="342">
        <f t="shared" si="29"/>
        <v>0</v>
      </c>
      <c r="Y104" s="342"/>
      <c r="Z104" s="342"/>
      <c r="AA104" s="342"/>
      <c r="AB104" s="344">
        <f t="shared" si="25"/>
        <v>22.711572727272728</v>
      </c>
      <c r="AC104" s="344">
        <f t="shared" si="25"/>
        <v>22.711572727272728</v>
      </c>
      <c r="AD104" s="344"/>
      <c r="AE104" s="344"/>
      <c r="AF104" s="126"/>
      <c r="AG104" s="111"/>
      <c r="AH104" s="126"/>
      <c r="AI104" s="125"/>
      <c r="AJ104" s="125"/>
      <c r="AK104" s="125"/>
      <c r="AL104" s="125"/>
    </row>
    <row r="105" spans="1:38" s="127" customFormat="1">
      <c r="A105" s="349" t="s">
        <v>251</v>
      </c>
      <c r="B105" s="350" t="s">
        <v>462</v>
      </c>
      <c r="C105" s="342">
        <f t="shared" si="16"/>
        <v>48406</v>
      </c>
      <c r="D105" s="343">
        <v>48406</v>
      </c>
      <c r="E105" s="343"/>
      <c r="F105" s="343"/>
      <c r="G105" s="343"/>
      <c r="H105" s="343"/>
      <c r="I105" s="343"/>
      <c r="J105" s="343"/>
      <c r="K105" s="342">
        <f t="shared" si="15"/>
        <v>0</v>
      </c>
      <c r="L105" s="343"/>
      <c r="M105" s="343"/>
      <c r="N105" s="342">
        <f t="shared" si="26"/>
        <v>12595.988216000002</v>
      </c>
      <c r="O105" s="343">
        <v>12595.988216000002</v>
      </c>
      <c r="P105" s="343">
        <f t="shared" si="27"/>
        <v>0</v>
      </c>
      <c r="Q105" s="343"/>
      <c r="R105" s="343"/>
      <c r="S105" s="343"/>
      <c r="T105" s="343"/>
      <c r="U105" s="342">
        <f t="shared" si="28"/>
        <v>0</v>
      </c>
      <c r="V105" s="343"/>
      <c r="W105" s="343"/>
      <c r="X105" s="342">
        <f t="shared" si="29"/>
        <v>0</v>
      </c>
      <c r="Y105" s="342"/>
      <c r="Z105" s="342"/>
      <c r="AA105" s="342"/>
      <c r="AB105" s="344">
        <f t="shared" si="25"/>
        <v>26.021543230178079</v>
      </c>
      <c r="AC105" s="344">
        <f t="shared" si="25"/>
        <v>26.021543230178079</v>
      </c>
      <c r="AD105" s="344"/>
      <c r="AE105" s="344"/>
      <c r="AF105" s="126"/>
      <c r="AG105" s="111"/>
      <c r="AH105" s="126"/>
      <c r="AI105" s="125"/>
      <c r="AJ105" s="125"/>
      <c r="AK105" s="125"/>
      <c r="AL105" s="125"/>
    </row>
    <row r="106" spans="1:38" s="127" customFormat="1">
      <c r="A106" s="349" t="s">
        <v>255</v>
      </c>
      <c r="B106" s="350" t="s">
        <v>463</v>
      </c>
      <c r="C106" s="342">
        <f>D106+E106+I106+J106+K106</f>
        <v>0</v>
      </c>
      <c r="D106" s="343"/>
      <c r="E106" s="343"/>
      <c r="F106" s="343"/>
      <c r="G106" s="343"/>
      <c r="H106" s="343"/>
      <c r="I106" s="343"/>
      <c r="J106" s="343"/>
      <c r="K106" s="342">
        <f t="shared" si="15"/>
        <v>0</v>
      </c>
      <c r="L106" s="343"/>
      <c r="M106" s="343"/>
      <c r="N106" s="342">
        <f t="shared" ref="N106:N107" si="30">O106+P106+S106+T106+U106+X106</f>
        <v>0</v>
      </c>
      <c r="O106" s="343"/>
      <c r="P106" s="343">
        <f t="shared" si="27"/>
        <v>0</v>
      </c>
      <c r="Q106" s="343"/>
      <c r="R106" s="343"/>
      <c r="S106" s="343"/>
      <c r="T106" s="343"/>
      <c r="U106" s="342">
        <f t="shared" si="28"/>
        <v>0</v>
      </c>
      <c r="V106" s="343"/>
      <c r="W106" s="343"/>
      <c r="X106" s="342">
        <f t="shared" si="29"/>
        <v>0</v>
      </c>
      <c r="Y106" s="342"/>
      <c r="Z106" s="342"/>
      <c r="AA106" s="342"/>
      <c r="AB106" s="344">
        <v>0</v>
      </c>
      <c r="AC106" s="344">
        <v>0</v>
      </c>
      <c r="AD106" s="344"/>
      <c r="AE106" s="344"/>
      <c r="AF106" s="126"/>
      <c r="AG106" s="111"/>
      <c r="AH106" s="126"/>
      <c r="AI106" s="125"/>
      <c r="AJ106" s="125"/>
      <c r="AK106" s="125"/>
      <c r="AL106" s="125"/>
    </row>
    <row r="107" spans="1:38" s="127" customFormat="1">
      <c r="A107" s="349" t="s">
        <v>256</v>
      </c>
      <c r="B107" s="350" t="s">
        <v>265</v>
      </c>
      <c r="C107" s="342">
        <f t="shared" si="16"/>
        <v>0</v>
      </c>
      <c r="D107" s="343">
        <f>63500-25000-23500-15000</f>
        <v>0</v>
      </c>
      <c r="E107" s="343"/>
      <c r="F107" s="343"/>
      <c r="G107" s="343"/>
      <c r="H107" s="343"/>
      <c r="I107" s="343"/>
      <c r="J107" s="343"/>
      <c r="K107" s="342">
        <f t="shared" si="15"/>
        <v>0</v>
      </c>
      <c r="L107" s="343"/>
      <c r="M107" s="343"/>
      <c r="N107" s="342">
        <f t="shared" si="30"/>
        <v>78548.58759000001</v>
      </c>
      <c r="O107" s="343">
        <v>78548.58759000001</v>
      </c>
      <c r="P107" s="343">
        <f t="shared" si="27"/>
        <v>0</v>
      </c>
      <c r="Q107" s="343"/>
      <c r="R107" s="343"/>
      <c r="S107" s="343"/>
      <c r="T107" s="343"/>
      <c r="U107" s="342">
        <f t="shared" si="28"/>
        <v>0</v>
      </c>
      <c r="V107" s="343"/>
      <c r="W107" s="343"/>
      <c r="X107" s="342">
        <f t="shared" si="29"/>
        <v>0</v>
      </c>
      <c r="Y107" s="342"/>
      <c r="Z107" s="342"/>
      <c r="AA107" s="342"/>
      <c r="AB107" s="344"/>
      <c r="AC107" s="344"/>
      <c r="AD107" s="344"/>
      <c r="AE107" s="344"/>
      <c r="AF107" s="126"/>
      <c r="AG107" s="111"/>
      <c r="AH107" s="126"/>
      <c r="AI107" s="125"/>
      <c r="AJ107" s="125"/>
      <c r="AK107" s="125"/>
      <c r="AL107" s="125"/>
    </row>
    <row r="108" spans="1:38" s="127" customFormat="1">
      <c r="A108" s="349">
        <v>11</v>
      </c>
      <c r="B108" s="350" t="s">
        <v>327</v>
      </c>
      <c r="C108" s="342">
        <f t="shared" si="16"/>
        <v>0</v>
      </c>
      <c r="D108" s="343"/>
      <c r="E108" s="343"/>
      <c r="F108" s="343"/>
      <c r="G108" s="343"/>
      <c r="H108" s="343"/>
      <c r="I108" s="343"/>
      <c r="J108" s="343"/>
      <c r="K108" s="342">
        <f t="shared" si="15"/>
        <v>0</v>
      </c>
      <c r="L108" s="343"/>
      <c r="M108" s="343"/>
      <c r="N108" s="342"/>
      <c r="O108" s="343"/>
      <c r="P108" s="343">
        <f>Q108+R108</f>
        <v>0</v>
      </c>
      <c r="Q108" s="343"/>
      <c r="R108" s="343"/>
      <c r="S108" s="343"/>
      <c r="T108" s="343"/>
      <c r="U108" s="342"/>
      <c r="V108" s="343"/>
      <c r="W108" s="343"/>
      <c r="X108" s="342"/>
      <c r="Y108" s="342"/>
      <c r="Z108" s="342"/>
      <c r="AA108" s="342"/>
      <c r="AB108" s="344"/>
      <c r="AC108" s="344"/>
      <c r="AD108" s="344"/>
      <c r="AE108" s="344"/>
      <c r="AF108" s="126"/>
      <c r="AG108" s="111"/>
      <c r="AH108" s="126"/>
      <c r="AI108" s="125"/>
      <c r="AJ108" s="125"/>
      <c r="AK108" s="125"/>
      <c r="AL108" s="125"/>
    </row>
    <row r="109" spans="1:38" s="125" customFormat="1">
      <c r="A109" s="348" t="s">
        <v>33</v>
      </c>
      <c r="B109" s="351" t="s">
        <v>464</v>
      </c>
      <c r="C109" s="337">
        <f>D109+E109+I109+J109+K109</f>
        <v>61001</v>
      </c>
      <c r="D109" s="352"/>
      <c r="E109" s="352">
        <f>E110+E111+E112</f>
        <v>61001</v>
      </c>
      <c r="F109" s="352">
        <f>F110+F111+F112</f>
        <v>0</v>
      </c>
      <c r="G109" s="352"/>
      <c r="H109" s="352"/>
      <c r="I109" s="352"/>
      <c r="J109" s="352"/>
      <c r="K109" s="337"/>
      <c r="L109" s="352"/>
      <c r="M109" s="352"/>
      <c r="N109" s="337"/>
      <c r="O109" s="352"/>
      <c r="P109" s="352">
        <f>Q109+R109</f>
        <v>0</v>
      </c>
      <c r="Q109" s="352"/>
      <c r="R109" s="352"/>
      <c r="S109" s="352"/>
      <c r="T109" s="352"/>
      <c r="U109" s="337"/>
      <c r="V109" s="352"/>
      <c r="W109" s="352"/>
      <c r="X109" s="337"/>
      <c r="Y109" s="337"/>
      <c r="Z109" s="337"/>
      <c r="AA109" s="337"/>
      <c r="AB109" s="344"/>
      <c r="AC109" s="344"/>
      <c r="AD109" s="344">
        <f t="shared" si="14"/>
        <v>0</v>
      </c>
      <c r="AE109" s="344"/>
      <c r="AF109" s="126"/>
      <c r="AG109" s="111"/>
      <c r="AH109" s="126"/>
    </row>
    <row r="110" spans="1:38" s="125" customFormat="1">
      <c r="A110" s="348"/>
      <c r="B110" s="350" t="s">
        <v>465</v>
      </c>
      <c r="C110" s="342">
        <f>D110+E110+I110+J110+K110</f>
        <v>6000</v>
      </c>
      <c r="D110" s="343"/>
      <c r="E110" s="343">
        <v>6000</v>
      </c>
      <c r="F110" s="343"/>
      <c r="G110" s="352"/>
      <c r="H110" s="352"/>
      <c r="I110" s="352"/>
      <c r="J110" s="352"/>
      <c r="K110" s="337"/>
      <c r="L110" s="352"/>
      <c r="M110" s="352"/>
      <c r="N110" s="337"/>
      <c r="O110" s="352"/>
      <c r="P110" s="352">
        <f t="shared" ref="P110:P111" si="31">Q110+R110</f>
        <v>0</v>
      </c>
      <c r="Q110" s="352"/>
      <c r="R110" s="352"/>
      <c r="S110" s="352"/>
      <c r="T110" s="352"/>
      <c r="U110" s="337"/>
      <c r="V110" s="352"/>
      <c r="W110" s="352"/>
      <c r="X110" s="337"/>
      <c r="Y110" s="337"/>
      <c r="Z110" s="337"/>
      <c r="AA110" s="337"/>
      <c r="AB110" s="344"/>
      <c r="AC110" s="344"/>
      <c r="AD110" s="344">
        <f t="shared" si="14"/>
        <v>0</v>
      </c>
      <c r="AE110" s="344"/>
      <c r="AF110" s="126"/>
      <c r="AG110" s="111"/>
      <c r="AH110" s="126"/>
    </row>
    <row r="111" spans="1:38" s="125" customFormat="1">
      <c r="A111" s="348"/>
      <c r="B111" s="350" t="s">
        <v>466</v>
      </c>
      <c r="C111" s="342">
        <f t="shared" ref="C111:C112" si="32">D111+E111+I111+J111+K111</f>
        <v>5000</v>
      </c>
      <c r="D111" s="343"/>
      <c r="E111" s="343">
        <v>5000</v>
      </c>
      <c r="F111" s="343"/>
      <c r="G111" s="352"/>
      <c r="H111" s="352"/>
      <c r="I111" s="352"/>
      <c r="J111" s="352"/>
      <c r="K111" s="337"/>
      <c r="L111" s="352"/>
      <c r="M111" s="352"/>
      <c r="N111" s="337"/>
      <c r="O111" s="352"/>
      <c r="P111" s="352">
        <f t="shared" si="31"/>
        <v>0</v>
      </c>
      <c r="Q111" s="352"/>
      <c r="R111" s="352"/>
      <c r="S111" s="352"/>
      <c r="T111" s="352"/>
      <c r="U111" s="337"/>
      <c r="V111" s="352"/>
      <c r="W111" s="352"/>
      <c r="X111" s="337"/>
      <c r="Y111" s="337"/>
      <c r="Z111" s="337"/>
      <c r="AA111" s="337"/>
      <c r="AB111" s="344"/>
      <c r="AC111" s="344"/>
      <c r="AD111" s="344">
        <f t="shared" si="14"/>
        <v>0</v>
      </c>
      <c r="AE111" s="344"/>
      <c r="AF111" s="126"/>
      <c r="AG111" s="111"/>
      <c r="AH111" s="126"/>
    </row>
    <row r="112" spans="1:38" s="125" customFormat="1">
      <c r="A112" s="348"/>
      <c r="B112" s="350" t="s">
        <v>271</v>
      </c>
      <c r="C112" s="342">
        <f t="shared" si="32"/>
        <v>50001</v>
      </c>
      <c r="D112" s="343"/>
      <c r="E112" s="343">
        <v>50001</v>
      </c>
      <c r="F112" s="343"/>
      <c r="G112" s="352"/>
      <c r="H112" s="352"/>
      <c r="I112" s="352"/>
      <c r="J112" s="352"/>
      <c r="K112" s="337"/>
      <c r="L112" s="352"/>
      <c r="M112" s="352"/>
      <c r="N112" s="337"/>
      <c r="O112" s="352"/>
      <c r="P112" s="352">
        <f>Q112+R112</f>
        <v>0</v>
      </c>
      <c r="Q112" s="352"/>
      <c r="R112" s="352"/>
      <c r="S112" s="352"/>
      <c r="T112" s="352"/>
      <c r="U112" s="337"/>
      <c r="V112" s="352"/>
      <c r="W112" s="352"/>
      <c r="X112" s="337"/>
      <c r="Y112" s="337"/>
      <c r="Z112" s="337"/>
      <c r="AA112" s="337"/>
      <c r="AB112" s="344"/>
      <c r="AC112" s="344"/>
      <c r="AD112" s="344">
        <f t="shared" si="14"/>
        <v>0</v>
      </c>
      <c r="AE112" s="344"/>
      <c r="AF112" s="126"/>
      <c r="AG112" s="111"/>
      <c r="AH112" s="126"/>
    </row>
    <row r="113" spans="1:38" s="125" customFormat="1" ht="37.5" customHeight="1">
      <c r="A113" s="484" t="s">
        <v>37</v>
      </c>
      <c r="B113" s="485" t="s">
        <v>718</v>
      </c>
      <c r="C113" s="337">
        <f t="shared" si="16"/>
        <v>2200</v>
      </c>
      <c r="D113" s="352"/>
      <c r="E113" s="352"/>
      <c r="F113" s="352"/>
      <c r="G113" s="352"/>
      <c r="H113" s="352"/>
      <c r="I113" s="352">
        <f>2200</f>
        <v>2200</v>
      </c>
      <c r="J113" s="352"/>
      <c r="K113" s="337">
        <f t="shared" si="15"/>
        <v>0</v>
      </c>
      <c r="L113" s="352"/>
      <c r="M113" s="352"/>
      <c r="N113" s="337">
        <f t="shared" ref="N113:N118" si="33">O113+P113+S113+T113+U113+X113</f>
        <v>9699.7659999999996</v>
      </c>
      <c r="O113" s="352"/>
      <c r="P113" s="352">
        <f>Q113+R113</f>
        <v>0</v>
      </c>
      <c r="Q113" s="352"/>
      <c r="R113" s="352"/>
      <c r="S113" s="352">
        <f>'[5]bieu 53_Tan'!G26</f>
        <v>9699.7659999999996</v>
      </c>
      <c r="T113" s="352"/>
      <c r="U113" s="337">
        <f t="shared" ref="U113:U120" si="34">V113+W113</f>
        <v>0</v>
      </c>
      <c r="V113" s="352"/>
      <c r="W113" s="352"/>
      <c r="X113" s="337">
        <f>Y113+Z113</f>
        <v>0</v>
      </c>
      <c r="Y113" s="352"/>
      <c r="Z113" s="352"/>
      <c r="AA113" s="352"/>
      <c r="AB113" s="344">
        <f t="shared" si="25"/>
        <v>440.89845454545451</v>
      </c>
      <c r="AC113" s="344"/>
      <c r="AD113" s="344"/>
      <c r="AE113" s="344"/>
      <c r="AF113" s="126"/>
      <c r="AG113" s="111"/>
      <c r="AH113" s="126"/>
    </row>
    <row r="114" spans="1:38" s="125" customFormat="1" ht="23.25" customHeight="1">
      <c r="A114" s="484" t="s">
        <v>39</v>
      </c>
      <c r="B114" s="485" t="s">
        <v>467</v>
      </c>
      <c r="C114" s="337">
        <f t="shared" si="16"/>
        <v>1000</v>
      </c>
      <c r="D114" s="352"/>
      <c r="E114" s="352"/>
      <c r="F114" s="352"/>
      <c r="G114" s="352"/>
      <c r="H114" s="352"/>
      <c r="I114" s="352"/>
      <c r="J114" s="337">
        <v>1000</v>
      </c>
      <c r="K114" s="337">
        <f t="shared" si="15"/>
        <v>0</v>
      </c>
      <c r="L114" s="352"/>
      <c r="M114" s="352"/>
      <c r="N114" s="337">
        <f t="shared" si="33"/>
        <v>24154</v>
      </c>
      <c r="O114" s="352"/>
      <c r="P114" s="352">
        <f>Q114+R114</f>
        <v>0</v>
      </c>
      <c r="Q114" s="352"/>
      <c r="R114" s="352"/>
      <c r="S114" s="352"/>
      <c r="T114" s="352">
        <f>'[5]bieu 53_Tan'!G27</f>
        <v>24154</v>
      </c>
      <c r="U114" s="337">
        <f t="shared" si="34"/>
        <v>0</v>
      </c>
      <c r="V114" s="352"/>
      <c r="W114" s="352"/>
      <c r="X114" s="337">
        <f>Y114+Z114</f>
        <v>0</v>
      </c>
      <c r="Y114" s="352"/>
      <c r="Z114" s="352"/>
      <c r="AA114" s="352"/>
      <c r="AB114" s="344">
        <f t="shared" si="25"/>
        <v>2415.4</v>
      </c>
      <c r="AC114" s="344"/>
      <c r="AD114" s="344"/>
      <c r="AE114" s="344"/>
      <c r="AF114" s="126"/>
      <c r="AG114" s="111"/>
      <c r="AH114" s="126"/>
      <c r="AI114" s="112"/>
      <c r="AJ114" s="112"/>
      <c r="AK114" s="112"/>
      <c r="AL114" s="112"/>
    </row>
    <row r="115" spans="1:38" s="125" customFormat="1">
      <c r="A115" s="484" t="s">
        <v>40</v>
      </c>
      <c r="B115" s="485" t="s">
        <v>468</v>
      </c>
      <c r="C115" s="337">
        <f>D115+J115+I115+E115+K115</f>
        <v>67330</v>
      </c>
      <c r="D115" s="352"/>
      <c r="F115" s="352"/>
      <c r="G115" s="352"/>
      <c r="H115" s="352"/>
      <c r="I115" s="352"/>
      <c r="J115" s="352">
        <v>67330</v>
      </c>
      <c r="K115" s="337">
        <f t="shared" si="15"/>
        <v>0</v>
      </c>
      <c r="L115" s="352"/>
      <c r="M115" s="352"/>
      <c r="N115" s="337">
        <f t="shared" si="33"/>
        <v>0</v>
      </c>
      <c r="O115" s="352"/>
      <c r="P115" s="352">
        <f t="shared" ref="P115:P119" si="35">Q115+R115</f>
        <v>0</v>
      </c>
      <c r="Q115" s="352"/>
      <c r="R115" s="352"/>
      <c r="S115" s="352"/>
      <c r="T115" s="352"/>
      <c r="U115" s="337">
        <f t="shared" si="34"/>
        <v>0</v>
      </c>
      <c r="V115" s="352"/>
      <c r="W115" s="352"/>
      <c r="X115" s="337">
        <f>Y115+Z115</f>
        <v>0</v>
      </c>
      <c r="Y115" s="352"/>
      <c r="Z115" s="352"/>
      <c r="AA115" s="352"/>
      <c r="AB115" s="344">
        <f t="shared" si="25"/>
        <v>0</v>
      </c>
      <c r="AC115" s="344"/>
      <c r="AD115" s="344"/>
      <c r="AE115" s="344"/>
      <c r="AF115" s="126"/>
      <c r="AG115" s="111"/>
      <c r="AH115" s="126"/>
      <c r="AI115" s="112"/>
      <c r="AJ115" s="112"/>
      <c r="AK115" s="112"/>
      <c r="AL115" s="112"/>
    </row>
    <row r="116" spans="1:38" s="125" customFormat="1" ht="31.5">
      <c r="A116" s="484" t="s">
        <v>125</v>
      </c>
      <c r="B116" s="485" t="s">
        <v>709</v>
      </c>
      <c r="C116" s="337">
        <f t="shared" ref="C116:C120" si="36">D116+J116+I116+E116+K116</f>
        <v>1010785</v>
      </c>
      <c r="D116" s="352"/>
      <c r="F116" s="352"/>
      <c r="G116" s="352"/>
      <c r="H116" s="352"/>
      <c r="I116" s="352"/>
      <c r="J116" s="352">
        <v>1010785</v>
      </c>
      <c r="K116" s="337">
        <f t="shared" si="15"/>
        <v>0</v>
      </c>
      <c r="L116" s="352"/>
      <c r="M116" s="352"/>
      <c r="N116" s="337">
        <f t="shared" si="33"/>
        <v>0</v>
      </c>
      <c r="O116" s="352"/>
      <c r="P116" s="352">
        <f t="shared" si="35"/>
        <v>0</v>
      </c>
      <c r="Q116" s="352"/>
      <c r="R116" s="352"/>
      <c r="S116" s="352"/>
      <c r="T116" s="352"/>
      <c r="U116" s="337">
        <f t="shared" si="34"/>
        <v>0</v>
      </c>
      <c r="V116" s="352"/>
      <c r="W116" s="352"/>
      <c r="X116" s="337">
        <f t="shared" ref="X116" si="37">Y116+Z116</f>
        <v>0</v>
      </c>
      <c r="Y116" s="352"/>
      <c r="Z116" s="352"/>
      <c r="AA116" s="352"/>
      <c r="AB116" s="344">
        <f t="shared" si="25"/>
        <v>0</v>
      </c>
      <c r="AC116" s="344"/>
      <c r="AD116" s="344"/>
      <c r="AE116" s="344"/>
      <c r="AF116" s="126"/>
      <c r="AG116" s="111"/>
      <c r="AH116" s="126"/>
      <c r="AI116" s="112"/>
      <c r="AJ116" s="112"/>
      <c r="AK116" s="112"/>
      <c r="AL116" s="112"/>
    </row>
    <row r="117" spans="1:38" s="125" customFormat="1" ht="31.5">
      <c r="A117" s="484" t="s">
        <v>157</v>
      </c>
      <c r="B117" s="485" t="s">
        <v>620</v>
      </c>
      <c r="C117" s="337">
        <f t="shared" si="36"/>
        <v>0</v>
      </c>
      <c r="D117" s="352"/>
      <c r="F117" s="352"/>
      <c r="G117" s="352"/>
      <c r="H117" s="352"/>
      <c r="I117" s="352"/>
      <c r="J117" s="352"/>
      <c r="K117" s="337"/>
      <c r="L117" s="352"/>
      <c r="M117" s="352"/>
      <c r="N117" s="337">
        <f t="shared" si="33"/>
        <v>11000</v>
      </c>
      <c r="O117" s="352"/>
      <c r="P117" s="352">
        <f t="shared" si="35"/>
        <v>0</v>
      </c>
      <c r="Q117" s="352"/>
      <c r="R117" s="352"/>
      <c r="S117" s="352"/>
      <c r="T117" s="352">
        <v>11000</v>
      </c>
      <c r="U117" s="337"/>
      <c r="V117" s="352"/>
      <c r="W117" s="352"/>
      <c r="X117" s="337"/>
      <c r="Y117" s="352"/>
      <c r="Z117" s="352"/>
      <c r="AA117" s="352"/>
      <c r="AB117" s="344"/>
      <c r="AC117" s="344"/>
      <c r="AD117" s="344"/>
      <c r="AE117" s="344"/>
      <c r="AF117" s="126"/>
      <c r="AG117" s="111"/>
      <c r="AH117" s="126"/>
      <c r="AI117" s="112"/>
      <c r="AJ117" s="112"/>
      <c r="AK117" s="112"/>
      <c r="AL117" s="112"/>
    </row>
    <row r="118" spans="1:38" s="125" customFormat="1" ht="31.5">
      <c r="A118" s="486" t="s">
        <v>469</v>
      </c>
      <c r="B118" s="485" t="s">
        <v>563</v>
      </c>
      <c r="C118" s="337">
        <f t="shared" si="36"/>
        <v>222208</v>
      </c>
      <c r="D118" s="352"/>
      <c r="E118" s="352"/>
      <c r="F118" s="352"/>
      <c r="G118" s="352"/>
      <c r="H118" s="352"/>
      <c r="I118" s="352"/>
      <c r="J118" s="337">
        <v>222208</v>
      </c>
      <c r="K118" s="337">
        <f t="shared" si="15"/>
        <v>0</v>
      </c>
      <c r="L118" s="352"/>
      <c r="M118" s="352"/>
      <c r="N118" s="337">
        <f t="shared" si="33"/>
        <v>0</v>
      </c>
      <c r="O118" s="352"/>
      <c r="P118" s="352">
        <f t="shared" si="35"/>
        <v>0</v>
      </c>
      <c r="Q118" s="352"/>
      <c r="R118" s="352"/>
      <c r="S118" s="352"/>
      <c r="T118" s="352"/>
      <c r="U118" s="337">
        <f t="shared" si="34"/>
        <v>0</v>
      </c>
      <c r="V118" s="352"/>
      <c r="W118" s="352"/>
      <c r="X118" s="337"/>
      <c r="Y118" s="352"/>
      <c r="Z118" s="352"/>
      <c r="AA118" s="352"/>
      <c r="AB118" s="344">
        <f t="shared" si="25"/>
        <v>0</v>
      </c>
      <c r="AC118" s="344"/>
      <c r="AD118" s="344"/>
      <c r="AE118" s="344"/>
      <c r="AF118" s="126"/>
      <c r="AG118" s="111"/>
      <c r="AH118" s="126"/>
      <c r="AI118" s="112"/>
      <c r="AJ118" s="112"/>
      <c r="AK118" s="112"/>
      <c r="AL118" s="112"/>
    </row>
    <row r="119" spans="1:38" s="125" customFormat="1" ht="31.5">
      <c r="A119" s="486" t="s">
        <v>606</v>
      </c>
      <c r="B119" s="487" t="s">
        <v>381</v>
      </c>
      <c r="C119" s="337">
        <f t="shared" si="36"/>
        <v>0</v>
      </c>
      <c r="D119" s="353"/>
      <c r="E119" s="353"/>
      <c r="F119" s="353"/>
      <c r="G119" s="353"/>
      <c r="H119" s="353"/>
      <c r="I119" s="353"/>
      <c r="J119" s="353"/>
      <c r="K119" s="354">
        <f t="shared" si="15"/>
        <v>0</v>
      </c>
      <c r="L119" s="353"/>
      <c r="M119" s="353"/>
      <c r="N119" s="337">
        <f>O119+P119+S119+T119+U119+X119</f>
        <v>1955445.8067010001</v>
      </c>
      <c r="O119" s="353"/>
      <c r="P119" s="352">
        <f t="shared" si="35"/>
        <v>0</v>
      </c>
      <c r="Q119" s="353"/>
      <c r="R119" s="353"/>
      <c r="S119" s="353"/>
      <c r="T119" s="353"/>
      <c r="U119" s="354">
        <f t="shared" si="34"/>
        <v>0</v>
      </c>
      <c r="V119" s="353"/>
      <c r="W119" s="353"/>
      <c r="X119" s="353">
        <v>1955445.8067010001</v>
      </c>
      <c r="Y119" s="353"/>
      <c r="Z119" s="353"/>
      <c r="AA119" s="353"/>
      <c r="AB119" s="344"/>
      <c r="AC119" s="344"/>
      <c r="AD119" s="344"/>
      <c r="AE119" s="344"/>
      <c r="AF119" s="126"/>
      <c r="AG119" s="111"/>
      <c r="AH119" s="126"/>
      <c r="AI119" s="112"/>
      <c r="AJ119" s="112"/>
      <c r="AK119" s="112"/>
      <c r="AL119" s="112"/>
    </row>
    <row r="120" spans="1:38">
      <c r="A120" s="488" t="s">
        <v>619</v>
      </c>
      <c r="B120" s="489" t="s">
        <v>382</v>
      </c>
      <c r="C120" s="355">
        <f t="shared" si="36"/>
        <v>0</v>
      </c>
      <c r="D120" s="356"/>
      <c r="E120" s="356"/>
      <c r="F120" s="356"/>
      <c r="G120" s="356"/>
      <c r="H120" s="356"/>
      <c r="I120" s="356"/>
      <c r="J120" s="356"/>
      <c r="K120" s="355">
        <f t="shared" si="15"/>
        <v>0</v>
      </c>
      <c r="L120" s="356"/>
      <c r="M120" s="356"/>
      <c r="N120" s="355">
        <f>O120+P120+S120+T120+U120+X120+AA120</f>
        <v>318370.00949199998</v>
      </c>
      <c r="O120" s="356"/>
      <c r="P120" s="356">
        <f>Q120+R120</f>
        <v>0</v>
      </c>
      <c r="Q120" s="356"/>
      <c r="R120" s="356"/>
      <c r="S120" s="356"/>
      <c r="T120" s="356"/>
      <c r="U120" s="355">
        <f t="shared" si="34"/>
        <v>0</v>
      </c>
      <c r="V120" s="356"/>
      <c r="W120" s="356"/>
      <c r="X120" s="356"/>
      <c r="Y120" s="356"/>
      <c r="Z120" s="356"/>
      <c r="AA120" s="356">
        <f>'[5]bieu 53_Tan'!G62</f>
        <v>318370.00949199998</v>
      </c>
      <c r="AB120" s="357"/>
      <c r="AC120" s="357"/>
      <c r="AD120" s="357"/>
      <c r="AE120" s="357"/>
      <c r="AF120" s="126"/>
      <c r="AG120" s="111"/>
      <c r="AH120" s="126"/>
    </row>
    <row r="121" spans="1:38" ht="51" customHeight="1"/>
    <row r="122" spans="1:38">
      <c r="B122" s="613"/>
      <c r="C122" s="613"/>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c r="AB122" s="613"/>
      <c r="AC122" s="613"/>
      <c r="AD122" s="613"/>
      <c r="AE122" s="613"/>
    </row>
    <row r="124" spans="1:38">
      <c r="N124" s="111"/>
      <c r="O124" s="111"/>
    </row>
    <row r="125" spans="1:38">
      <c r="N125" s="111"/>
      <c r="P125" s="111"/>
    </row>
    <row r="126" spans="1:38">
      <c r="N126" s="111"/>
    </row>
  </sheetData>
  <mergeCells count="33">
    <mergeCell ref="B122:AE122"/>
    <mergeCell ref="S7:S8"/>
    <mergeCell ref="T7:T8"/>
    <mergeCell ref="U7:W7"/>
    <mergeCell ref="X7:X8"/>
    <mergeCell ref="Y7:Z7"/>
    <mergeCell ref="AA7:AA8"/>
    <mergeCell ref="J7:J8"/>
    <mergeCell ref="K7:M7"/>
    <mergeCell ref="N7:N8"/>
    <mergeCell ref="O7:O8"/>
    <mergeCell ref="P7:P8"/>
    <mergeCell ref="B1:C1"/>
    <mergeCell ref="A3:AE3"/>
    <mergeCell ref="A4:AE4"/>
    <mergeCell ref="AB5:AC5"/>
    <mergeCell ref="AD5:AE5"/>
    <mergeCell ref="A6:A8"/>
    <mergeCell ref="B6:B8"/>
    <mergeCell ref="C6:M6"/>
    <mergeCell ref="N6:X6"/>
    <mergeCell ref="AB6:AE6"/>
    <mergeCell ref="Q7:R7"/>
    <mergeCell ref="C7:C8"/>
    <mergeCell ref="D7:D8"/>
    <mergeCell ref="E7:E8"/>
    <mergeCell ref="F7:F8"/>
    <mergeCell ref="G7:H7"/>
    <mergeCell ref="I7:I8"/>
    <mergeCell ref="AB7:AB8"/>
    <mergeCell ref="AC7:AC8"/>
    <mergeCell ref="AD7:AD8"/>
    <mergeCell ref="AE7:AE8"/>
  </mergeCells>
  <dataValidations count="6">
    <dataValidation allowBlank="1" showInputMessage="1" showErrorMessage="1" prompt="Bao gồm cả BS cân đối để khớp với tổng chi NS tỉnh" sqref="T118"/>
    <dataValidation allowBlank="1" showInputMessage="1" showErrorMessage="1" prompt="Bộ Quốc phòng_x000a_" sqref="Q42"/>
    <dataValidation allowBlank="1" showInputMessage="1" showErrorMessage="1" prompt="Bao gồm Văn phòng điều phối CT MTQG NTM" sqref="M14"/>
    <dataValidation allowBlank="1" showInputMessage="1" showErrorMessage="1" prompt="Bao gồm: tăng 300tr. đồng Ghi thu ghi chi quyền sử dụng đất khai thác quỹ đất khu phía Nam cầu Đăk bla (Thường xuyên)" sqref="R70"/>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2898 C65394 JE65394 TA65394 ACW65394 AMS65394 AWO65394 BGK65394 BQG65394 CAC65394 CJY65394 CTU65394 DDQ65394 DNM65394 DXI65394 EHE65394 ERA65394 FAW65394 FKS65394 FUO65394 GEK65394 GOG65394 GYC65394 HHY65394 HRU65394 IBQ65394 ILM65394 IVI65394 JFE65394 JPA65394 JYW65394 KIS65394 KSO65394 LCK65394 LMG65394 LWC65394 MFY65394 MPU65394 MZQ65394 NJM65394 NTI65394 ODE65394 ONA65394 OWW65394 PGS65394 PQO65394 QAK65394 QKG65394 QUC65394 RDY65394 RNU65394 RXQ65394 SHM65394 SRI65394 TBE65394 TLA65394 TUW65394 UES65394 UOO65394 UYK65394 VIG65394 VSC65394 WBY65394 WLU65394 WVQ65394 C130930 JE130930 TA130930 ACW130930 AMS130930 AWO130930 BGK130930 BQG130930 CAC130930 CJY130930 CTU130930 DDQ130930 DNM130930 DXI130930 EHE130930 ERA130930 FAW130930 FKS130930 FUO130930 GEK130930 GOG130930 GYC130930 HHY130930 HRU130930 IBQ130930 ILM130930 IVI130930 JFE130930 JPA130930 JYW130930 KIS130930 KSO130930 LCK130930 LMG130930 LWC130930 MFY130930 MPU130930 MZQ130930 NJM130930 NTI130930 ODE130930 ONA130930 OWW130930 PGS130930 PQO130930 QAK130930 QKG130930 QUC130930 RDY130930 RNU130930 RXQ130930 SHM130930 SRI130930 TBE130930 TLA130930 TUW130930 UES130930 UOO130930 UYK130930 VIG130930 VSC130930 WBY130930 WLU130930 WVQ130930 C196466 JE196466 TA196466 ACW196466 AMS196466 AWO196466 BGK196466 BQG196466 CAC196466 CJY196466 CTU196466 DDQ196466 DNM196466 DXI196466 EHE196466 ERA196466 FAW196466 FKS196466 FUO196466 GEK196466 GOG196466 GYC196466 HHY196466 HRU196466 IBQ196466 ILM196466 IVI196466 JFE196466 JPA196466 JYW196466 KIS196466 KSO196466 LCK196466 LMG196466 LWC196466 MFY196466 MPU196466 MZQ196466 NJM196466 NTI196466 ODE196466 ONA196466 OWW196466 PGS196466 PQO196466 QAK196466 QKG196466 QUC196466 RDY196466 RNU196466 RXQ196466 SHM196466 SRI196466 TBE196466 TLA196466 TUW196466 UES196466 UOO196466 UYK196466 VIG196466 VSC196466 WBY196466 WLU196466 WVQ196466 C262002 JE262002 TA262002 ACW262002 AMS262002 AWO262002 BGK262002 BQG262002 CAC262002 CJY262002 CTU262002 DDQ262002 DNM262002 DXI262002 EHE262002 ERA262002 FAW262002 FKS262002 FUO262002 GEK262002 GOG262002 GYC262002 HHY262002 HRU262002 IBQ262002 ILM262002 IVI262002 JFE262002 JPA262002 JYW262002 KIS262002 KSO262002 LCK262002 LMG262002 LWC262002 MFY262002 MPU262002 MZQ262002 NJM262002 NTI262002 ODE262002 ONA262002 OWW262002 PGS262002 PQO262002 QAK262002 QKG262002 QUC262002 RDY262002 RNU262002 RXQ262002 SHM262002 SRI262002 TBE262002 TLA262002 TUW262002 UES262002 UOO262002 UYK262002 VIG262002 VSC262002 WBY262002 WLU262002 WVQ262002 C327538 JE327538 TA327538 ACW327538 AMS327538 AWO327538 BGK327538 BQG327538 CAC327538 CJY327538 CTU327538 DDQ327538 DNM327538 DXI327538 EHE327538 ERA327538 FAW327538 FKS327538 FUO327538 GEK327538 GOG327538 GYC327538 HHY327538 HRU327538 IBQ327538 ILM327538 IVI327538 JFE327538 JPA327538 JYW327538 KIS327538 KSO327538 LCK327538 LMG327538 LWC327538 MFY327538 MPU327538 MZQ327538 NJM327538 NTI327538 ODE327538 ONA327538 OWW327538 PGS327538 PQO327538 QAK327538 QKG327538 QUC327538 RDY327538 RNU327538 RXQ327538 SHM327538 SRI327538 TBE327538 TLA327538 TUW327538 UES327538 UOO327538 UYK327538 VIG327538 VSC327538 WBY327538 WLU327538 WVQ327538 C393074 JE393074 TA393074 ACW393074 AMS393074 AWO393074 BGK393074 BQG393074 CAC393074 CJY393074 CTU393074 DDQ393074 DNM393074 DXI393074 EHE393074 ERA393074 FAW393074 FKS393074 FUO393074 GEK393074 GOG393074 GYC393074 HHY393074 HRU393074 IBQ393074 ILM393074 IVI393074 JFE393074 JPA393074 JYW393074 KIS393074 KSO393074 LCK393074 LMG393074 LWC393074 MFY393074 MPU393074 MZQ393074 NJM393074 NTI393074 ODE393074 ONA393074 OWW393074 PGS393074 PQO393074 QAK393074 QKG393074 QUC393074 RDY393074 RNU393074 RXQ393074 SHM393074 SRI393074 TBE393074 TLA393074 TUW393074 UES393074 UOO393074 UYK393074 VIG393074 VSC393074 WBY393074 WLU393074 WVQ393074 C458610 JE458610 TA458610 ACW458610 AMS458610 AWO458610 BGK458610 BQG458610 CAC458610 CJY458610 CTU458610 DDQ458610 DNM458610 DXI458610 EHE458610 ERA458610 FAW458610 FKS458610 FUO458610 GEK458610 GOG458610 GYC458610 HHY458610 HRU458610 IBQ458610 ILM458610 IVI458610 JFE458610 JPA458610 JYW458610 KIS458610 KSO458610 LCK458610 LMG458610 LWC458610 MFY458610 MPU458610 MZQ458610 NJM458610 NTI458610 ODE458610 ONA458610 OWW458610 PGS458610 PQO458610 QAK458610 QKG458610 QUC458610 RDY458610 RNU458610 RXQ458610 SHM458610 SRI458610 TBE458610 TLA458610 TUW458610 UES458610 UOO458610 UYK458610 VIG458610 VSC458610 WBY458610 WLU458610 WVQ458610 C524146 JE524146 TA524146 ACW524146 AMS524146 AWO524146 BGK524146 BQG524146 CAC524146 CJY524146 CTU524146 DDQ524146 DNM524146 DXI524146 EHE524146 ERA524146 FAW524146 FKS524146 FUO524146 GEK524146 GOG524146 GYC524146 HHY524146 HRU524146 IBQ524146 ILM524146 IVI524146 JFE524146 JPA524146 JYW524146 KIS524146 KSO524146 LCK524146 LMG524146 LWC524146 MFY524146 MPU524146 MZQ524146 NJM524146 NTI524146 ODE524146 ONA524146 OWW524146 PGS524146 PQO524146 QAK524146 QKG524146 QUC524146 RDY524146 RNU524146 RXQ524146 SHM524146 SRI524146 TBE524146 TLA524146 TUW524146 UES524146 UOO524146 UYK524146 VIG524146 VSC524146 WBY524146 WLU524146 WVQ524146 C589682 JE589682 TA589682 ACW589682 AMS589682 AWO589682 BGK589682 BQG589682 CAC589682 CJY589682 CTU589682 DDQ589682 DNM589682 DXI589682 EHE589682 ERA589682 FAW589682 FKS589682 FUO589682 GEK589682 GOG589682 GYC589682 HHY589682 HRU589682 IBQ589682 ILM589682 IVI589682 JFE589682 JPA589682 JYW589682 KIS589682 KSO589682 LCK589682 LMG589682 LWC589682 MFY589682 MPU589682 MZQ589682 NJM589682 NTI589682 ODE589682 ONA589682 OWW589682 PGS589682 PQO589682 QAK589682 QKG589682 QUC589682 RDY589682 RNU589682 RXQ589682 SHM589682 SRI589682 TBE589682 TLA589682 TUW589682 UES589682 UOO589682 UYK589682 VIG589682 VSC589682 WBY589682 WLU589682 WVQ589682 C655218 JE655218 TA655218 ACW655218 AMS655218 AWO655218 BGK655218 BQG655218 CAC655218 CJY655218 CTU655218 DDQ655218 DNM655218 DXI655218 EHE655218 ERA655218 FAW655218 FKS655218 FUO655218 GEK655218 GOG655218 GYC655218 HHY655218 HRU655218 IBQ655218 ILM655218 IVI655218 JFE655218 JPA655218 JYW655218 KIS655218 KSO655218 LCK655218 LMG655218 LWC655218 MFY655218 MPU655218 MZQ655218 NJM655218 NTI655218 ODE655218 ONA655218 OWW655218 PGS655218 PQO655218 QAK655218 QKG655218 QUC655218 RDY655218 RNU655218 RXQ655218 SHM655218 SRI655218 TBE655218 TLA655218 TUW655218 UES655218 UOO655218 UYK655218 VIG655218 VSC655218 WBY655218 WLU655218 WVQ655218 C720754 JE720754 TA720754 ACW720754 AMS720754 AWO720754 BGK720754 BQG720754 CAC720754 CJY720754 CTU720754 DDQ720754 DNM720754 DXI720754 EHE720754 ERA720754 FAW720754 FKS720754 FUO720754 GEK720754 GOG720754 GYC720754 HHY720754 HRU720754 IBQ720754 ILM720754 IVI720754 JFE720754 JPA720754 JYW720754 KIS720754 KSO720754 LCK720754 LMG720754 LWC720754 MFY720754 MPU720754 MZQ720754 NJM720754 NTI720754 ODE720754 ONA720754 OWW720754 PGS720754 PQO720754 QAK720754 QKG720754 QUC720754 RDY720754 RNU720754 RXQ720754 SHM720754 SRI720754 TBE720754 TLA720754 TUW720754 UES720754 UOO720754 UYK720754 VIG720754 VSC720754 WBY720754 WLU720754 WVQ720754 C786290 JE786290 TA786290 ACW786290 AMS786290 AWO786290 BGK786290 BQG786290 CAC786290 CJY786290 CTU786290 DDQ786290 DNM786290 DXI786290 EHE786290 ERA786290 FAW786290 FKS786290 FUO786290 GEK786290 GOG786290 GYC786290 HHY786290 HRU786290 IBQ786290 ILM786290 IVI786290 JFE786290 JPA786290 JYW786290 KIS786290 KSO786290 LCK786290 LMG786290 LWC786290 MFY786290 MPU786290 MZQ786290 NJM786290 NTI786290 ODE786290 ONA786290 OWW786290 PGS786290 PQO786290 QAK786290 QKG786290 QUC786290 RDY786290 RNU786290 RXQ786290 SHM786290 SRI786290 TBE786290 TLA786290 TUW786290 UES786290 UOO786290 UYK786290 VIG786290 VSC786290 WBY786290 WLU786290 WVQ786290 C851826 JE851826 TA851826 ACW851826 AMS851826 AWO851826 BGK851826 BQG851826 CAC851826 CJY851826 CTU851826 DDQ851826 DNM851826 DXI851826 EHE851826 ERA851826 FAW851826 FKS851826 FUO851826 GEK851826 GOG851826 GYC851826 HHY851826 HRU851826 IBQ851826 ILM851826 IVI851826 JFE851826 JPA851826 JYW851826 KIS851826 KSO851826 LCK851826 LMG851826 LWC851826 MFY851826 MPU851826 MZQ851826 NJM851826 NTI851826 ODE851826 ONA851826 OWW851826 PGS851826 PQO851826 QAK851826 QKG851826 QUC851826 RDY851826 RNU851826 RXQ851826 SHM851826 SRI851826 TBE851826 TLA851826 TUW851826 UES851826 UOO851826 UYK851826 VIG851826 VSC851826 WBY851826 WLU851826 WVQ851826 C917362 JE917362 TA917362 ACW917362 AMS917362 AWO917362 BGK917362 BQG917362 CAC917362 CJY917362 CTU917362 DDQ917362 DNM917362 DXI917362 EHE917362 ERA917362 FAW917362 FKS917362 FUO917362 GEK917362 GOG917362 GYC917362 HHY917362 HRU917362 IBQ917362 ILM917362 IVI917362 JFE917362 JPA917362 JYW917362 KIS917362 KSO917362 LCK917362 LMG917362 LWC917362 MFY917362 MPU917362 MZQ917362 NJM917362 NTI917362 ODE917362 ONA917362 OWW917362 PGS917362 PQO917362 QAK917362 QKG917362 QUC917362 RDY917362 RNU917362 RXQ917362 SHM917362 SRI917362 TBE917362 TLA917362 TUW917362 UES917362 UOO917362 UYK917362 VIG917362 VSC917362 WBY917362 WLU917362 WVQ917362 C982898 JE982898 TA982898 ACW982898 AMS982898 AWO982898 BGK982898 BQG982898 CAC982898 CJY982898 CTU982898 DDQ982898 DNM982898 DXI982898 EHE982898 ERA982898 FAW982898 FKS982898 FUO982898 GEK982898 GOG982898 GYC982898 HHY982898 HRU982898 IBQ982898 ILM982898 IVI982898 JFE982898 JPA982898 JYW982898 KIS982898 KSO982898 LCK982898 LMG982898 LWC982898 MFY982898 MPU982898 MZQ982898 NJM982898 NTI982898 ODE982898 ONA982898 OWW982898 PGS982898 PQO982898 QAK982898 QKG982898 QUC982898 RDY982898 RNU982898 RXQ982898 SHM982898 SRI982898 TBE982898 TLA982898 TUW982898 UES982898 UOO982898 UYK982898 VIG982898 VSC982898 WBY982898 WLU982898 WLU13:WLU96 WVQ13:WVQ96 JE13:JE96 TA13:TA96 ACW13:ACW96 AMS13:AMS96 AWO13:AWO96 BGK13:BGK96 BQG13:BQG96 CAC13:CAC96 CJY13:CJY96 CTU13:CTU96 DDQ13:DDQ96 DNM13:DNM96 DXI13:DXI96 EHE13:EHE96 ERA13:ERA96 FAW13:FAW96 FKS13:FKS96 FUO13:FUO96 GEK13:GEK96 GOG13:GOG96 GYC13:GYC96 HHY13:HHY96 HRU13:HRU96 IBQ13:IBQ96 ILM13:ILM96 IVI13:IVI96 JFE13:JFE96 JPA13:JPA96 JYW13:JYW96 KIS13:KIS96 KSO13:KSO96 LCK13:LCK96 LMG13:LMG96 LWC13:LWC96 MFY13:MFY96 MPU13:MPU96 MZQ13:MZQ96 NJM13:NJM96 NTI13:NTI96 ODE13:ODE96 ONA13:ONA96 OWW13:OWW96 PGS13:PGS96 PQO13:PQO96 QAK13:QAK96 QKG13:QKG96 QUC13:QUC96 RDY13:RDY96 RNU13:RNU96 RXQ13:RXQ96 SHM13:SHM96 SRI13:SRI96 TBE13:TBE96 TLA13:TLA96 TUW13:TUW96 UES13:UES96 UOO13:UOO96 UYK13:UYK96 VIG13:VIG96 VSC13:VSC96 WBY13:WBY96"/>
    <dataValidation allowBlank="1" showInputMessage="1" showErrorMessage="1" prompt="_x000a_" sqref="O35"/>
  </dataValidations>
  <printOptions horizontalCentered="1"/>
  <pageMargins left="0" right="0" top="0.47244094488188998" bottom="0.511811023622047" header="0.31496062992126" footer="0"/>
  <pageSetup paperSize="9" scale="39" orientation="landscape"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Thu nội địa</vt:lpstr>
      <vt:lpstr>Tong hop phan cong</vt:lpstr>
      <vt:lpstr>Bieu 48</vt:lpstr>
      <vt:lpstr>Bieu 50</vt:lpstr>
      <vt:lpstr>Bieu 51</vt:lpstr>
      <vt:lpstr>bieu 52</vt:lpstr>
      <vt:lpstr>bieu 53</vt:lpstr>
      <vt:lpstr>Bieu 54_Tan_NS</vt:lpstr>
      <vt:lpstr>Bieu 54 </vt:lpstr>
      <vt:lpstr>Bieu 58</vt:lpstr>
      <vt:lpstr>Bieu 59</vt:lpstr>
      <vt:lpstr>Bieu 61_Hien</vt:lpstr>
      <vt:lpstr>Bieu 61</vt:lpstr>
      <vt:lpstr>Biêu 63</vt:lpstr>
      <vt:lpstr>Biêu 64</vt:lpstr>
      <vt:lpstr>'Bieu 48'!chuong_phuluc_48_name</vt:lpstr>
      <vt:lpstr>'Bieu 50'!chuong_phuluc_50_name</vt:lpstr>
      <vt:lpstr>'Bieu 51'!chuong_phuluc_51_name</vt:lpstr>
      <vt:lpstr>'bieu 52'!chuong_phuluc_52_name</vt:lpstr>
      <vt:lpstr>'bieu 53'!chuong_phuluc_53_name</vt:lpstr>
      <vt:lpstr>'Bieu 58'!chuong_phuluc_58_name</vt:lpstr>
      <vt:lpstr>'Bieu 59'!chuong_phuluc_59_name</vt:lpstr>
      <vt:lpstr>'Bieu 51'!Print_Area</vt:lpstr>
      <vt:lpstr>'bieu 52'!Print_Area</vt:lpstr>
      <vt:lpstr>'bieu 53'!Print_Area</vt:lpstr>
      <vt:lpstr>'Bieu 54 '!Print_Area</vt:lpstr>
      <vt:lpstr>'Bieu 54_Tan_NS'!Print_Area</vt:lpstr>
      <vt:lpstr>'Bieu 58'!Print_Area</vt:lpstr>
      <vt:lpstr>'Bieu 61'!Print_Area</vt:lpstr>
      <vt:lpstr>'Bieu 61_Hien'!Print_Area</vt:lpstr>
      <vt:lpstr>'Biêu 64'!Print_Area</vt:lpstr>
      <vt:lpstr>'Bieu 48'!Print_Titles</vt:lpstr>
      <vt:lpstr>'bieu 53'!Print_Titles</vt:lpstr>
      <vt:lpstr>'Bieu 54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2023-10-23T09:07:23Z</dcterms:modified>
</cp:coreProperties>
</file>